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tabRatio="733" activeTab="6"/>
  </bookViews>
  <sheets>
    <sheet name="М 2кл 00-01" sheetId="1" r:id="rId1"/>
    <sheet name="Ж 2 кл 95-97" sheetId="2" r:id="rId2"/>
    <sheet name="М 2 кл 98-99" sheetId="3" r:id="rId3"/>
    <sheet name="М 2кл 97-95" sheetId="4" r:id="rId4"/>
    <sheet name="Ж 2 кл 02-03" sheetId="5" r:id="rId5"/>
    <sheet name="M 3кл 00-01" sheetId="6" state="hidden" r:id="rId6"/>
    <sheet name="М 3 кл 98-99" sheetId="7" r:id="rId7"/>
    <sheet name="Ж 3 кл 95-97" sheetId="8" r:id="rId8"/>
    <sheet name="М 3 кл 97-95" sheetId="9" r:id="rId9"/>
  </sheets>
  <externalReferences>
    <externalReference r:id="rId12"/>
  </externalReferences>
  <definedNames>
    <definedName name="DataLichVPR">'[1]DATA_личка'!$A:$Z</definedName>
    <definedName name="DistName1">'[1]Настройка'!$D$108</definedName>
    <definedName name="Klass1">'[1]Настройка'!$F$35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otokol">'[1]Настройка'!$C$32</definedName>
  </definedNames>
  <calcPr fullCalcOnLoad="1"/>
</workbook>
</file>

<file path=xl/comments1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2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3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4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5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6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7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8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9.xml><?xml version="1.0" encoding="utf-8"?>
<comments xmlns="http://schemas.openxmlformats.org/spreadsheetml/2006/main">
  <authors>
    <author>Секретариат</author>
    <author>KateVol</author>
  </authors>
  <commentList>
    <comment ref="B5" authorId="0">
      <text>
        <r>
          <rPr>
            <b/>
            <sz val="10"/>
            <rFont val="Tahoma"/>
            <family val="2"/>
          </rPr>
          <t>Формат ячеек ввода
"Текстовый"</t>
        </r>
      </text>
    </comment>
    <comment ref="T5" authorId="1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sharedStrings.xml><?xml version="1.0" encoding="utf-8"?>
<sst xmlns="http://schemas.openxmlformats.org/spreadsheetml/2006/main" count="805" uniqueCount="114">
  <si>
    <t>Один штрафной балл (при штрафной системе) =</t>
  </si>
  <si>
    <t>Временной эквивалент за снятие с этапа =</t>
  </si>
  <si>
    <t>Штраф за отсутствие отметки SI =</t>
  </si>
  <si>
    <t>КВ
м</t>
  </si>
  <si>
    <t>КВ
ж</t>
  </si>
  <si>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</si>
  <si>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</si>
  <si>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</si>
  <si>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</si>
  <si>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</si>
  <si>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</si>
  <si>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</si>
  <si>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t>Номер чипа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</si>
  <si>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</si>
  <si>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Время старта</t>
  </si>
  <si>
    <t>Время финиша</t>
  </si>
  <si>
    <t>Результат</t>
  </si>
  <si>
    <t>Примечание</t>
  </si>
  <si>
    <t>ОТСЕЧКИ</t>
  </si>
  <si>
    <t>сорт.1</t>
  </si>
  <si>
    <t>сорт.2</t>
  </si>
  <si>
    <t>сорт.3</t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</si>
  <si>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</si>
  <si>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</si>
  <si>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</si>
  <si>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</si>
  <si>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</si>
  <si>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</si>
  <si>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</si>
  <si>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</si>
  <si>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</si>
  <si>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</si>
  <si>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на дистанции</t>
  </si>
  <si>
    <t>кол-во снятий</t>
  </si>
  <si>
    <t>Сумма отсечек (мин:сек)</t>
  </si>
  <si>
    <t>Сумма штрафных баллов  на этапах</t>
  </si>
  <si>
    <t>Штрафное время на этапах</t>
  </si>
  <si>
    <t>Штрафной временной эквивалент за снятия с этапов</t>
  </si>
  <si>
    <t>Штрафное время за отсутствие отметки SI</t>
  </si>
  <si>
    <t>Штрафное время</t>
  </si>
  <si>
    <t>Время на дистанции с учетом отсечек
и штрафа</t>
  </si>
  <si>
    <t>Место</t>
  </si>
  <si>
    <t>% от результата победителя</t>
  </si>
  <si>
    <t>Выполненный норматив</t>
  </si>
  <si>
    <t>Отсутствие отметки SI (указать кол-во отсут. отметок)</t>
  </si>
  <si>
    <t>ранг</t>
  </si>
  <si>
    <t>Пол</t>
  </si>
  <si>
    <t>Зачет</t>
  </si>
  <si>
    <t>Служебное</t>
  </si>
  <si>
    <t>Служебное - снятие</t>
  </si>
  <si>
    <t>Время на дистанции с учетом отсечек</t>
  </si>
  <si>
    <t>1</t>
  </si>
  <si>
    <t>Квалификационный ранг дистанции:</t>
  </si>
  <si>
    <t>Ковалев Евгений</t>
  </si>
  <si>
    <t>I</t>
  </si>
  <si>
    <t>2</t>
  </si>
  <si>
    <t>"Эверест"</t>
  </si>
  <si>
    <t>Бикинский район</t>
  </si>
  <si>
    <t>3</t>
  </si>
  <si>
    <t>Соколова Маргарита</t>
  </si>
  <si>
    <t>4</t>
  </si>
  <si>
    <t>Шабатин Валерий</t>
  </si>
  <si>
    <t>КМС</t>
  </si>
  <si>
    <t>5</t>
  </si>
  <si>
    <t>Кудьяров Глеб</t>
  </si>
  <si>
    <t>II</t>
  </si>
  <si>
    <t>6</t>
  </si>
  <si>
    <t>Ожогин Дмитрий</t>
  </si>
  <si>
    <t>7</t>
  </si>
  <si>
    <t>Деринский Владислав</t>
  </si>
  <si>
    <t>8</t>
  </si>
  <si>
    <t>Панин Игнат</t>
  </si>
  <si>
    <t>9</t>
  </si>
  <si>
    <t>Сахаров Кирил</t>
  </si>
  <si>
    <t>10</t>
  </si>
  <si>
    <t>Нурутдинов Рамиль</t>
  </si>
  <si>
    <t>б.р</t>
  </si>
  <si>
    <t>11</t>
  </si>
  <si>
    <t>Курыс Агата</t>
  </si>
  <si>
    <t>Рейман Руслан</t>
  </si>
  <si>
    <t>Путинцева Ляна</t>
  </si>
  <si>
    <t>Романова Юлия</t>
  </si>
  <si>
    <t>Бобкова Мария</t>
  </si>
  <si>
    <t>Прядохин Павел</t>
  </si>
  <si>
    <t>12</t>
  </si>
  <si>
    <t>13</t>
  </si>
  <si>
    <t>14</t>
  </si>
  <si>
    <t>15</t>
  </si>
  <si>
    <t>16</t>
  </si>
  <si>
    <t>17</t>
  </si>
  <si>
    <t>III</t>
  </si>
  <si>
    <t>"Азимут"</t>
  </si>
  <si>
    <t>Хабаровск</t>
  </si>
  <si>
    <t>Чепиков Илья</t>
  </si>
  <si>
    <t>Кучерявый Илья</t>
  </si>
  <si>
    <t>Костына Вадим</t>
  </si>
  <si>
    <t>Лысиков Алексей</t>
  </si>
  <si>
    <t>Бобров Руслан</t>
  </si>
  <si>
    <t>Iю</t>
  </si>
  <si>
    <t>"Персефона"</t>
  </si>
  <si>
    <t>18</t>
  </si>
  <si>
    <t>19</t>
  </si>
  <si>
    <t>20</t>
  </si>
  <si>
    <t>21</t>
  </si>
  <si>
    <t>Шестопалько Кирилл</t>
  </si>
  <si>
    <t>Протокол соревнований в дисциплине: "дистанция-пешеходная"; класс 2, код 0840091811Я; возростная группа-юноши 97-95</t>
  </si>
  <si>
    <t>Протокол соревнований в дисциплине: "дистанция-пешеходная"; класс 2, код 0840091811Я; возрастная группа юноши 1998-1999</t>
  </si>
  <si>
    <t>Протокол соревнований в дисциплине: "дистанция-пешеходная"; класс 2, код 0840091811Я; возрастная группа мальчики 2000-2001</t>
  </si>
  <si>
    <t>Протокол соревнований в дисциплине: "дистанция-пешеходная"; класс 2, код 0840091811Я; возрастная группа-девушки 1995-1997</t>
  </si>
  <si>
    <t>Протокол соревнований в дисциплине: "дистанция-пешеходная"; класс 2, код 0840091811Я; возрастная группа девочки 2002-2003</t>
  </si>
  <si>
    <t>Протокол соревнований в дисциплине: "дистанция-пешеходная"; класс 3, код 0840091811Я; возрастная группа мальчики 2000-2001</t>
  </si>
  <si>
    <t>Протокол соревнований в дисциплине: "дистанция-пешеходная"; класс 3, код 0840091811Я; возрастная группа юноши 1998-1999</t>
  </si>
  <si>
    <t>Протокол соревнований в дисциплине: "дистанция-пешеходная"; класс 3, код 0840091811Я; возрастная группа-девушки 1995-1997</t>
  </si>
  <si>
    <t>Протокол соревнований в дисциплине: "дистанция-пешеходная"; класс 3, код 0840091811Я; возростная группа-юноши 97-95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</si>
</sst>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double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0" fontId="3" fillId="0" borderId="0" xfId="52" applyNumberFormat="1" applyFont="1" applyFill="1" applyAlignment="1">
      <alignment horizontal="center"/>
      <protection/>
    </xf>
    <xf numFmtId="164" fontId="3" fillId="0" borderId="0" xfId="52" applyNumberFormat="1" applyFont="1" applyFill="1">
      <alignment/>
      <protection/>
    </xf>
    <xf numFmtId="165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9" fontId="5" fillId="0" borderId="0" xfId="52" applyNumberFormat="1" applyFont="1" applyAlignment="1">
      <alignment horizontal="center" vertical="center"/>
      <protection/>
    </xf>
    <xf numFmtId="0" fontId="6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Fill="1" applyAlignment="1">
      <alignment horizontal="left"/>
      <protection/>
    </xf>
    <xf numFmtId="0" fontId="7" fillId="0" borderId="0" xfId="52" applyFont="1" applyFill="1">
      <alignment/>
      <protection/>
    </xf>
    <xf numFmtId="45" fontId="7" fillId="0" borderId="0" xfId="52" applyNumberFormat="1" applyFont="1" applyFill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0" xfId="52" applyNumberFormat="1" applyFont="1" applyFill="1">
      <alignment/>
      <protection/>
    </xf>
    <xf numFmtId="0" fontId="6" fillId="0" borderId="0" xfId="52" applyFont="1" applyFill="1" applyAlignment="1">
      <alignment horizontal="right" wrapText="1"/>
      <protection/>
    </xf>
    <xf numFmtId="0" fontId="8" fillId="0" borderId="0" xfId="52" applyNumberFormat="1" applyFont="1" applyFill="1">
      <alignment/>
      <protection/>
    </xf>
    <xf numFmtId="0" fontId="6" fillId="0" borderId="0" xfId="52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/>
      <protection/>
    </xf>
    <xf numFmtId="0" fontId="6" fillId="0" borderId="0" xfId="52" applyFont="1" applyBorder="1" applyAlignment="1">
      <alignment horizontal="right" vertical="center"/>
      <protection/>
    </xf>
    <xf numFmtId="49" fontId="3" fillId="0" borderId="0" xfId="52" applyNumberFormat="1" applyFont="1" applyBorder="1">
      <alignment/>
      <protection/>
    </xf>
    <xf numFmtId="165" fontId="3" fillId="0" borderId="0" xfId="52" applyNumberFormat="1" applyFont="1" applyFill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8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 wrapText="1"/>
      <protection/>
    </xf>
    <xf numFmtId="0" fontId="3" fillId="33" borderId="10" xfId="52" applyNumberFormat="1" applyFont="1" applyFill="1" applyBorder="1" applyAlignment="1">
      <alignment horizontal="center"/>
      <protection/>
    </xf>
    <xf numFmtId="165" fontId="7" fillId="0" borderId="0" xfId="52" applyNumberFormat="1" applyFont="1" applyAlignment="1">
      <alignment wrapText="1"/>
      <protection/>
    </xf>
    <xf numFmtId="0" fontId="7" fillId="0" borderId="0" xfId="52" applyFont="1" applyAlignment="1">
      <alignment textRotation="90"/>
      <protection/>
    </xf>
    <xf numFmtId="0" fontId="7" fillId="0" borderId="0" xfId="52" applyFont="1" applyBorder="1" applyAlignment="1">
      <alignment horizontal="center" textRotation="90"/>
      <protection/>
    </xf>
    <xf numFmtId="21" fontId="14" fillId="34" borderId="11" xfId="52" applyNumberFormat="1" applyFont="1" applyFill="1" applyBorder="1" applyAlignment="1" applyProtection="1">
      <alignment horizontal="center"/>
      <protection locked="0"/>
    </xf>
    <xf numFmtId="21" fontId="14" fillId="34" borderId="12" xfId="52" applyNumberFormat="1" applyFont="1" applyFill="1" applyBorder="1" applyAlignment="1" applyProtection="1">
      <alignment horizontal="center"/>
      <protection locked="0"/>
    </xf>
    <xf numFmtId="0" fontId="7" fillId="34" borderId="11" xfId="52" applyFont="1" applyFill="1" applyBorder="1" applyAlignment="1" applyProtection="1">
      <alignment horizontal="center" textRotation="90" wrapText="1"/>
      <protection locked="0"/>
    </xf>
    <xf numFmtId="0" fontId="7" fillId="34" borderId="12" xfId="52" applyFont="1" applyFill="1" applyBorder="1" applyAlignment="1" applyProtection="1">
      <alignment horizontal="center" textRotation="90" wrapText="1"/>
      <protection locked="0"/>
    </xf>
    <xf numFmtId="0" fontId="7" fillId="34" borderId="13" xfId="52" applyFont="1" applyFill="1" applyBorder="1" applyAlignment="1" applyProtection="1">
      <alignment horizontal="center" textRotation="90" wrapText="1"/>
      <protection locked="0"/>
    </xf>
    <xf numFmtId="164" fontId="12" fillId="0" borderId="14" xfId="52" applyNumberFormat="1" applyFont="1" applyFill="1" applyBorder="1" applyAlignment="1">
      <alignment horizontal="center" textRotation="90" wrapText="1"/>
      <protection/>
    </xf>
    <xf numFmtId="0" fontId="12" fillId="0" borderId="14" xfId="52" applyNumberFormat="1" applyFont="1" applyFill="1" applyBorder="1" applyAlignment="1">
      <alignment horizontal="center" textRotation="90" wrapText="1"/>
      <protection/>
    </xf>
    <xf numFmtId="0" fontId="6" fillId="0" borderId="15" xfId="52" applyFont="1" applyFill="1" applyBorder="1" applyAlignment="1">
      <alignment horizontal="center" textRotation="90" wrapText="1"/>
      <protection/>
    </xf>
    <xf numFmtId="0" fontId="6" fillId="0" borderId="12" xfId="52" applyNumberFormat="1" applyFont="1" applyFill="1" applyBorder="1" applyAlignment="1">
      <alignment horizontal="center" textRotation="90" wrapText="1"/>
      <protection/>
    </xf>
    <xf numFmtId="164" fontId="6" fillId="0" borderId="12" xfId="52" applyNumberFormat="1" applyFont="1" applyFill="1" applyBorder="1" applyAlignment="1">
      <alignment horizontal="center" textRotation="90" wrapText="1"/>
      <protection/>
    </xf>
    <xf numFmtId="164" fontId="6" fillId="0" borderId="16" xfId="52" applyNumberFormat="1" applyFont="1" applyFill="1" applyBorder="1" applyAlignment="1">
      <alignment horizontal="center" textRotation="90" wrapText="1"/>
      <protection/>
    </xf>
    <xf numFmtId="164" fontId="12" fillId="0" borderId="13" xfId="52" applyNumberFormat="1" applyFont="1" applyFill="1" applyBorder="1" applyAlignment="1">
      <alignment horizontal="center" textRotation="90" wrapText="1"/>
      <protection/>
    </xf>
    <xf numFmtId="0" fontId="11" fillId="0" borderId="11" xfId="52" applyFont="1" applyFill="1" applyBorder="1" applyAlignment="1">
      <alignment horizontal="center" textRotation="90" wrapText="1"/>
      <protection/>
    </xf>
    <xf numFmtId="0" fontId="11" fillId="0" borderId="15" xfId="52" applyNumberFormat="1" applyFont="1" applyFill="1" applyBorder="1" applyAlignment="1">
      <alignment horizontal="center" textRotation="90" wrapText="1"/>
      <protection/>
    </xf>
    <xf numFmtId="0" fontId="12" fillId="0" borderId="12" xfId="52" applyFont="1" applyFill="1" applyBorder="1" applyAlignment="1">
      <alignment horizontal="center" textRotation="90" wrapText="1"/>
      <protection/>
    </xf>
    <xf numFmtId="0" fontId="12" fillId="0" borderId="13" xfId="52" applyFont="1" applyFill="1" applyBorder="1" applyAlignment="1">
      <alignment horizontal="center" textRotation="90" wrapText="1"/>
      <protection/>
    </xf>
    <xf numFmtId="0" fontId="3" fillId="33" borderId="17" xfId="52" applyNumberFormat="1" applyFont="1" applyFill="1" applyBorder="1" applyAlignment="1">
      <alignment horizontal="center" textRotation="90" wrapText="1"/>
      <protection/>
    </xf>
    <xf numFmtId="164" fontId="2" fillId="33" borderId="17" xfId="52" applyNumberFormat="1" applyFont="1" applyFill="1" applyBorder="1" applyAlignment="1">
      <alignment horizontal="center" textRotation="90"/>
      <protection/>
    </xf>
    <xf numFmtId="165" fontId="12" fillId="0" borderId="0" xfId="52" applyNumberFormat="1" applyFont="1" applyFill="1" applyBorder="1" applyAlignment="1">
      <alignment horizontal="center" textRotation="90" wrapText="1"/>
      <protection/>
    </xf>
    <xf numFmtId="0" fontId="12" fillId="0" borderId="0" xfId="52" applyFont="1" applyFill="1" applyBorder="1" applyAlignment="1">
      <alignment horizontal="center" textRotation="90" wrapText="1"/>
      <protection/>
    </xf>
    <xf numFmtId="0" fontId="15" fillId="0" borderId="0" xfId="52" applyFont="1" applyAlignment="1">
      <alignment horizontal="center" vertical="center" wrapText="1"/>
      <protection/>
    </xf>
    <xf numFmtId="45" fontId="15" fillId="0" borderId="0" xfId="52" applyNumberFormat="1" applyFont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49" fontId="3" fillId="33" borderId="19" xfId="52" applyNumberFormat="1" applyFont="1" applyFill="1" applyBorder="1" applyAlignment="1" applyProtection="1">
      <alignment horizontal="center" vertical="center" wrapText="1"/>
      <protection locked="0"/>
    </xf>
    <xf numFmtId="0" fontId="17" fillId="19" borderId="20" xfId="53" applyNumberFormat="1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 applyProtection="1">
      <alignment horizontal="center" vertical="center"/>
      <protection locked="0"/>
    </xf>
    <xf numFmtId="0" fontId="3" fillId="33" borderId="22" xfId="52" applyFont="1" applyFill="1" applyBorder="1" applyAlignment="1" applyProtection="1">
      <alignment horizontal="center" vertical="center"/>
      <protection locked="0"/>
    </xf>
    <xf numFmtId="0" fontId="3" fillId="33" borderId="23" xfId="52" applyFont="1" applyFill="1" applyBorder="1" applyAlignment="1" applyProtection="1">
      <alignment horizontal="center" vertical="center"/>
      <protection locked="0"/>
    </xf>
    <xf numFmtId="0" fontId="3" fillId="33" borderId="24" xfId="52" applyFont="1" applyFill="1" applyBorder="1" applyAlignment="1" applyProtection="1">
      <alignment horizontal="center" vertical="center"/>
      <protection locked="0"/>
    </xf>
    <xf numFmtId="164" fontId="3" fillId="33" borderId="21" xfId="52" applyNumberFormat="1" applyFont="1" applyFill="1" applyBorder="1" applyAlignment="1" applyProtection="1">
      <alignment horizontal="center" vertical="center"/>
      <protection locked="0"/>
    </xf>
    <xf numFmtId="164" fontId="3" fillId="33" borderId="20" xfId="52" applyNumberFormat="1" applyFont="1" applyFill="1" applyBorder="1" applyAlignment="1" applyProtection="1">
      <alignment horizontal="center" vertical="center"/>
      <protection locked="0"/>
    </xf>
    <xf numFmtId="164" fontId="3" fillId="0" borderId="18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45" fontId="3" fillId="0" borderId="25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22" xfId="52" applyNumberFormat="1" applyFont="1" applyFill="1" applyBorder="1" applyAlignment="1">
      <alignment horizontal="center" vertical="center"/>
      <protection/>
    </xf>
    <xf numFmtId="164" fontId="3" fillId="0" borderId="26" xfId="52" applyNumberFormat="1" applyFont="1" applyFill="1" applyBorder="1" applyAlignment="1">
      <alignment horizontal="center" vertical="center"/>
      <protection/>
    </xf>
    <xf numFmtId="164" fontId="8" fillId="0" borderId="21" xfId="52" applyNumberFormat="1" applyFont="1" applyFill="1" applyBorder="1" applyAlignment="1">
      <alignment horizontal="center" vertical="center" wrapText="1"/>
      <protection/>
    </xf>
    <xf numFmtId="0" fontId="8" fillId="0" borderId="25" xfId="52" applyNumberFormat="1" applyFont="1" applyFill="1" applyBorder="1" applyAlignment="1">
      <alignment horizontal="center" vertical="center"/>
      <protection/>
    </xf>
    <xf numFmtId="10" fontId="8" fillId="0" borderId="22" xfId="52" applyNumberFormat="1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left" vertical="center"/>
      <protection/>
    </xf>
    <xf numFmtId="0" fontId="3" fillId="33" borderId="17" xfId="52" applyNumberFormat="1" applyFont="1" applyFill="1" applyBorder="1" applyAlignment="1" applyProtection="1">
      <alignment horizontal="center"/>
      <protection locked="0"/>
    </xf>
    <xf numFmtId="164" fontId="3" fillId="33" borderId="17" xfId="52" applyNumberFormat="1" applyFont="1" applyFill="1" applyBorder="1" applyProtection="1">
      <alignment/>
      <protection locked="0"/>
    </xf>
    <xf numFmtId="165" fontId="3" fillId="19" borderId="17" xfId="52" applyNumberFormat="1" applyFont="1" applyFill="1" applyBorder="1" applyAlignment="1">
      <alignment horizontal="center" vertical="center" wrapText="1"/>
      <protection/>
    </xf>
    <xf numFmtId="0" fontId="16" fillId="19" borderId="17" xfId="53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>
      <alignment/>
      <protection/>
    </xf>
    <xf numFmtId="0" fontId="3" fillId="0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3" fillId="0" borderId="27" xfId="52" applyFont="1" applyFill="1" applyBorder="1" applyAlignment="1">
      <alignment horizontal="center" vertical="center"/>
      <protection/>
    </xf>
    <xf numFmtId="0" fontId="17" fillId="19" borderId="28" xfId="53" applyNumberFormat="1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 applyProtection="1">
      <alignment horizontal="center" vertical="center"/>
      <protection locked="0"/>
    </xf>
    <xf numFmtId="0" fontId="3" fillId="33" borderId="17" xfId="52" applyFont="1" applyFill="1" applyBorder="1" applyAlignment="1" applyProtection="1">
      <alignment horizontal="center" vertical="center"/>
      <protection locked="0"/>
    </xf>
    <xf numFmtId="0" fontId="3" fillId="33" borderId="10" xfId="52" applyFont="1" applyFill="1" applyBorder="1" applyAlignment="1" applyProtection="1">
      <alignment horizontal="center" vertical="center"/>
      <protection locked="0"/>
    </xf>
    <xf numFmtId="0" fontId="3" fillId="33" borderId="29" xfId="52" applyFont="1" applyFill="1" applyBorder="1" applyAlignment="1" applyProtection="1">
      <alignment horizontal="center" vertical="center"/>
      <protection locked="0"/>
    </xf>
    <xf numFmtId="0" fontId="8" fillId="0" borderId="30" xfId="52" applyNumberFormat="1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left" vertical="center"/>
      <protection/>
    </xf>
    <xf numFmtId="49" fontId="3" fillId="0" borderId="0" xfId="52" applyNumberFormat="1" applyFont="1" applyAlignment="1">
      <alignment horizontal="right"/>
      <protection/>
    </xf>
    <xf numFmtId="49" fontId="3" fillId="0" borderId="0" xfId="52" applyNumberFormat="1" applyFont="1" applyFill="1" applyAlignment="1">
      <alignment horizontal="right"/>
      <protection/>
    </xf>
    <xf numFmtId="0" fontId="18" fillId="0" borderId="0" xfId="52" applyFont="1" applyFill="1" applyAlignment="1">
      <alignment/>
      <protection/>
    </xf>
    <xf numFmtId="0" fontId="18" fillId="0" borderId="0" xfId="52" applyFont="1" applyFill="1" applyBorder="1" applyAlignment="1">
      <alignment/>
      <protection/>
    </xf>
    <xf numFmtId="0" fontId="18" fillId="0" borderId="0" xfId="52" applyFont="1" applyAlignment="1">
      <alignment wrapText="1"/>
      <protection/>
    </xf>
    <xf numFmtId="0" fontId="18" fillId="0" borderId="0" xfId="52" applyFont="1" applyFill="1" applyBorder="1" applyAlignment="1">
      <alignment horizontal="right"/>
      <protection/>
    </xf>
    <xf numFmtId="165" fontId="18" fillId="0" borderId="0" xfId="52" applyNumberFormat="1" applyFont="1" applyFill="1" applyBorder="1" applyAlignment="1">
      <alignment horizontal="left" indent="1"/>
      <protection/>
    </xf>
    <xf numFmtId="0" fontId="18" fillId="0" borderId="0" xfId="52" applyFont="1" applyFill="1" applyBorder="1" applyAlignment="1">
      <alignment horizontal="left" wrapText="1"/>
      <protection/>
    </xf>
    <xf numFmtId="0" fontId="18" fillId="0" borderId="0" xfId="52" applyFont="1" applyFill="1" applyBorder="1" applyAlignment="1">
      <alignment wrapText="1"/>
      <protection/>
    </xf>
    <xf numFmtId="0" fontId="18" fillId="0" borderId="0" xfId="52" applyFont="1" applyFill="1">
      <alignment/>
      <protection/>
    </xf>
    <xf numFmtId="164" fontId="18" fillId="0" borderId="0" xfId="52" applyNumberFormat="1" applyFont="1" applyFill="1">
      <alignment/>
      <protection/>
    </xf>
    <xf numFmtId="164" fontId="18" fillId="0" borderId="0" xfId="52" applyNumberFormat="1" applyFont="1" applyFill="1" applyAlignment="1">
      <alignment horizontal="center"/>
      <protection/>
    </xf>
    <xf numFmtId="0" fontId="18" fillId="0" borderId="0" xfId="52" applyNumberFormat="1" applyFont="1" applyFill="1" applyAlignment="1">
      <alignment horizontal="center"/>
      <protection/>
    </xf>
    <xf numFmtId="0" fontId="18" fillId="0" borderId="0" xfId="52" applyNumberFormat="1" applyFont="1" applyFill="1">
      <alignment/>
      <protection/>
    </xf>
    <xf numFmtId="0" fontId="12" fillId="0" borderId="0" xfId="52" applyFont="1" applyFill="1" applyAlignment="1">
      <alignment horizontal="center" wrapText="1"/>
      <protection/>
    </xf>
    <xf numFmtId="0" fontId="19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49" fontId="18" fillId="0" borderId="0" xfId="52" applyNumberFormat="1" applyFont="1">
      <alignment/>
      <protection/>
    </xf>
    <xf numFmtId="165" fontId="18" fillId="0" borderId="0" xfId="52" applyNumberFormat="1" applyFont="1" applyAlignment="1">
      <alignment wrapText="1"/>
      <protection/>
    </xf>
    <xf numFmtId="0" fontId="18" fillId="0" borderId="0" xfId="52" applyFont="1">
      <alignment/>
      <protection/>
    </xf>
    <xf numFmtId="0" fontId="18" fillId="0" borderId="0" xfId="52" applyFont="1" applyFill="1" applyAlignment="1">
      <alignment horizontal="left" vertical="center"/>
      <protection/>
    </xf>
    <xf numFmtId="0" fontId="18" fillId="0" borderId="0" xfId="52" applyFont="1" applyFill="1" applyBorder="1" applyAlignment="1">
      <alignment horizontal="center" wrapText="1"/>
      <protection/>
    </xf>
    <xf numFmtId="0" fontId="18" fillId="0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45" fontId="7" fillId="0" borderId="0" xfId="52" applyNumberFormat="1" applyFont="1" applyFill="1" applyBorder="1">
      <alignment/>
      <protection/>
    </xf>
    <xf numFmtId="21" fontId="18" fillId="0" borderId="0" xfId="52" applyNumberFormat="1" applyFont="1" applyFill="1" applyBorder="1">
      <alignment/>
      <protection/>
    </xf>
    <xf numFmtId="164" fontId="18" fillId="0" borderId="0" xfId="52" applyNumberFormat="1" applyFont="1" applyFill="1" applyBorder="1">
      <alignment/>
      <protection/>
    </xf>
    <xf numFmtId="164" fontId="18" fillId="0" borderId="0" xfId="52" applyNumberFormat="1" applyFont="1" applyFill="1" applyBorder="1" applyAlignment="1">
      <alignment horizontal="center"/>
      <protection/>
    </xf>
    <xf numFmtId="0" fontId="18" fillId="0" borderId="0" xfId="52" applyNumberFormat="1" applyFont="1" applyFill="1" applyBorder="1" applyAlignment="1">
      <alignment horizontal="center"/>
      <protection/>
    </xf>
    <xf numFmtId="0" fontId="18" fillId="0" borderId="0" xfId="52" applyNumberFormat="1" applyFont="1" applyFill="1" applyBorder="1">
      <alignment/>
      <protection/>
    </xf>
    <xf numFmtId="45" fontId="18" fillId="0" borderId="0" xfId="52" applyNumberFormat="1" applyFont="1" applyFill="1" applyBorder="1" applyAlignment="1">
      <alignment horizontal="center" wrapText="1"/>
      <protection/>
    </xf>
    <xf numFmtId="49" fontId="18" fillId="0" borderId="0" xfId="52" applyNumberFormat="1" applyFont="1" applyFill="1">
      <alignment/>
      <protection/>
    </xf>
    <xf numFmtId="165" fontId="18" fillId="0" borderId="0" xfId="52" applyNumberFormat="1" applyFont="1" applyFill="1" applyBorder="1" applyAlignment="1">
      <alignment wrapText="1"/>
      <protection/>
    </xf>
    <xf numFmtId="165" fontId="18" fillId="0" borderId="0" xfId="52" applyNumberFormat="1" applyFont="1" applyFill="1" applyBorder="1">
      <alignment/>
      <protection/>
    </xf>
    <xf numFmtId="10" fontId="18" fillId="0" borderId="0" xfId="52" applyNumberFormat="1" applyFont="1" applyFill="1" applyBorder="1">
      <alignment/>
      <protection/>
    </xf>
    <xf numFmtId="0" fontId="18" fillId="0" borderId="0" xfId="52" applyFont="1" applyFill="1" applyAlignment="1">
      <alignment wrapText="1"/>
      <protection/>
    </xf>
    <xf numFmtId="0" fontId="18" fillId="0" borderId="0" xfId="52" applyFont="1" applyFill="1" applyAlignment="1">
      <alignment horizontal="center" wrapText="1"/>
      <protection/>
    </xf>
    <xf numFmtId="0" fontId="18" fillId="0" borderId="0" xfId="52" applyFont="1" applyFill="1" applyAlignment="1">
      <alignment horizontal="left"/>
      <protection/>
    </xf>
    <xf numFmtId="49" fontId="12" fillId="0" borderId="0" xfId="52" applyNumberFormat="1" applyFont="1" applyFill="1">
      <alignment/>
      <protection/>
    </xf>
    <xf numFmtId="165" fontId="18" fillId="0" borderId="0" xfId="52" applyNumberFormat="1" applyFont="1" applyFill="1" applyAlignment="1">
      <alignment wrapText="1"/>
      <protection/>
    </xf>
    <xf numFmtId="0" fontId="3" fillId="0" borderId="0" xfId="52" applyFont="1" applyFill="1" applyAlignment="1">
      <alignment horizontal="left" vertical="center"/>
      <protection/>
    </xf>
    <xf numFmtId="164" fontId="3" fillId="0" borderId="0" xfId="52" applyNumberFormat="1" applyFont="1">
      <alignment/>
      <protection/>
    </xf>
    <xf numFmtId="164" fontId="3" fillId="0" borderId="0" xfId="52" applyNumberFormat="1" applyFont="1" applyAlignment="1">
      <alignment horizontal="center"/>
      <protection/>
    </xf>
    <xf numFmtId="0" fontId="3" fillId="0" borderId="0" xfId="52" applyNumberFormat="1" applyFont="1" applyAlignment="1">
      <alignment horizontal="center"/>
      <protection/>
    </xf>
    <xf numFmtId="0" fontId="3" fillId="0" borderId="0" xfId="52" applyNumberFormat="1" applyFont="1">
      <alignment/>
      <protection/>
    </xf>
    <xf numFmtId="0" fontId="8" fillId="0" borderId="0" xfId="52" applyFont="1" applyAlignment="1">
      <alignment horizontal="center" wrapText="1"/>
      <protection/>
    </xf>
    <xf numFmtId="0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Fill="1" applyAlignment="1">
      <alignment horizontal="center" wrapText="1"/>
      <protection/>
    </xf>
    <xf numFmtId="165" fontId="7" fillId="0" borderId="0" xfId="52" applyNumberFormat="1" applyFont="1" applyFill="1" applyAlignment="1">
      <alignment wrapText="1"/>
      <protection/>
    </xf>
    <xf numFmtId="165" fontId="3" fillId="0" borderId="0" xfId="52" applyNumberFormat="1" applyFont="1" applyFill="1">
      <alignment/>
      <protection/>
    </xf>
    <xf numFmtId="164" fontId="3" fillId="0" borderId="0" xfId="52" applyNumberFormat="1" applyFont="1" applyAlignment="1">
      <alignment horizontal="right"/>
      <protection/>
    </xf>
    <xf numFmtId="20" fontId="3" fillId="0" borderId="0" xfId="52" applyNumberFormat="1" applyFont="1" applyAlignment="1">
      <alignment horizontal="left"/>
      <protection/>
    </xf>
    <xf numFmtId="20" fontId="7" fillId="0" borderId="0" xfId="52" applyNumberFormat="1" applyFont="1" applyAlignment="1">
      <alignment horizontal="left"/>
      <protection/>
    </xf>
    <xf numFmtId="0" fontId="3" fillId="0" borderId="0" xfId="52" applyFont="1" applyFill="1" applyAlignment="1">
      <alignment horizontal="left" wrapText="1"/>
      <protection/>
    </xf>
    <xf numFmtId="0" fontId="12" fillId="0" borderId="31" xfId="52" applyFont="1" applyFill="1" applyBorder="1" applyAlignment="1">
      <alignment horizontal="center" textRotation="90" wrapText="1"/>
      <protection/>
    </xf>
    <xf numFmtId="0" fontId="12" fillId="0" borderId="32" xfId="52" applyFont="1" applyFill="1" applyBorder="1" applyAlignment="1">
      <alignment horizontal="center" textRotation="90" wrapText="1"/>
      <protection/>
    </xf>
    <xf numFmtId="0" fontId="12" fillId="0" borderId="33" xfId="52" applyFont="1" applyFill="1" applyBorder="1" applyAlignment="1">
      <alignment horizontal="center" textRotation="90" wrapText="1"/>
      <protection/>
    </xf>
    <xf numFmtId="0" fontId="16" fillId="0" borderId="17" xfId="53" applyNumberFormat="1" applyFont="1" applyFill="1" applyBorder="1" applyAlignment="1">
      <alignment vertical="center"/>
      <protection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vertical="center" wrapText="1"/>
      <protection/>
    </xf>
    <xf numFmtId="0" fontId="16" fillId="0" borderId="29" xfId="53" applyNumberFormat="1" applyFont="1" applyFill="1" applyBorder="1" applyAlignment="1">
      <alignment horizontal="left" vertical="center" wrapText="1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/>
      <protection/>
    </xf>
    <xf numFmtId="164" fontId="12" fillId="0" borderId="33" xfId="52" applyNumberFormat="1" applyFont="1" applyFill="1" applyBorder="1" applyAlignment="1">
      <alignment horizontal="center" textRotation="90" wrapText="1"/>
      <protection/>
    </xf>
    <xf numFmtId="0" fontId="12" fillId="0" borderId="33" xfId="52" applyNumberFormat="1" applyFont="1" applyFill="1" applyBorder="1" applyAlignment="1">
      <alignment horizontal="center" textRotation="90" wrapText="1"/>
      <protection/>
    </xf>
    <xf numFmtId="0" fontId="6" fillId="0" borderId="34" xfId="52" applyFont="1" applyFill="1" applyBorder="1" applyAlignment="1">
      <alignment horizontal="center" textRotation="90" wrapText="1"/>
      <protection/>
    </xf>
    <xf numFmtId="0" fontId="6" fillId="0" borderId="31" xfId="52" applyNumberFormat="1" applyFont="1" applyFill="1" applyBorder="1" applyAlignment="1">
      <alignment horizontal="center" textRotation="90" wrapText="1"/>
      <protection/>
    </xf>
    <xf numFmtId="164" fontId="6" fillId="0" borderId="31" xfId="52" applyNumberFormat="1" applyFont="1" applyFill="1" applyBorder="1" applyAlignment="1">
      <alignment horizontal="center" textRotation="90" wrapText="1"/>
      <protection/>
    </xf>
    <xf numFmtId="164" fontId="6" fillId="0" borderId="35" xfId="52" applyNumberFormat="1" applyFont="1" applyFill="1" applyBorder="1" applyAlignment="1">
      <alignment horizontal="center" textRotation="90" wrapText="1"/>
      <protection/>
    </xf>
    <xf numFmtId="164" fontId="12" fillId="0" borderId="36" xfId="52" applyNumberFormat="1" applyFont="1" applyFill="1" applyBorder="1" applyAlignment="1">
      <alignment horizontal="center" textRotation="90" wrapText="1"/>
      <protection/>
    </xf>
    <xf numFmtId="0" fontId="11" fillId="0" borderId="37" xfId="52" applyFont="1" applyFill="1" applyBorder="1" applyAlignment="1">
      <alignment horizontal="center" textRotation="90" wrapText="1"/>
      <protection/>
    </xf>
    <xf numFmtId="0" fontId="11" fillId="0" borderId="34" xfId="52" applyNumberFormat="1" applyFont="1" applyFill="1" applyBorder="1" applyAlignment="1">
      <alignment horizontal="center" textRotation="90" wrapText="1"/>
      <protection/>
    </xf>
    <xf numFmtId="0" fontId="12" fillId="0" borderId="36" xfId="52" applyFont="1" applyFill="1" applyBorder="1" applyAlignment="1">
      <alignment horizontal="center" textRotation="90" wrapText="1"/>
      <protection/>
    </xf>
    <xf numFmtId="164" fontId="5" fillId="33" borderId="10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4" fontId="5" fillId="33" borderId="30" xfId="52" applyNumberFormat="1" applyFont="1" applyFill="1" applyBorder="1" applyAlignment="1">
      <alignment horizontal="center"/>
      <protection/>
    </xf>
    <xf numFmtId="0" fontId="12" fillId="0" borderId="32" xfId="52" applyFont="1" applyFill="1" applyBorder="1" applyAlignment="1">
      <alignment horizontal="center" wrapText="1"/>
      <protection/>
    </xf>
    <xf numFmtId="0" fontId="12" fillId="0" borderId="33" xfId="52" applyFont="1" applyFill="1" applyBorder="1" applyAlignment="1">
      <alignment horizontal="center" wrapText="1"/>
      <protection/>
    </xf>
    <xf numFmtId="0" fontId="12" fillId="0" borderId="38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39" xfId="52" applyFont="1" applyFill="1" applyBorder="1" applyAlignment="1">
      <alignment horizontal="center" vertical="center" wrapText="1"/>
      <protection/>
    </xf>
    <xf numFmtId="164" fontId="12" fillId="0" borderId="40" xfId="52" applyNumberFormat="1" applyFont="1" applyFill="1" applyBorder="1" applyAlignment="1">
      <alignment horizontal="center" vertical="center" wrapText="1"/>
      <protection/>
    </xf>
    <xf numFmtId="164" fontId="12" fillId="0" borderId="37" xfId="52" applyNumberFormat="1" applyFont="1" applyFill="1" applyBorder="1" applyAlignment="1">
      <alignment horizontal="center" vertical="center" wrapText="1"/>
      <protection/>
    </xf>
    <xf numFmtId="164" fontId="12" fillId="0" borderId="41" xfId="52" applyNumberFormat="1" applyFont="1" applyFill="1" applyBorder="1" applyAlignment="1">
      <alignment horizontal="center" vertical="center" wrapText="1"/>
      <protection/>
    </xf>
    <xf numFmtId="164" fontId="12" fillId="0" borderId="36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wrapText="1"/>
      <protection/>
    </xf>
    <xf numFmtId="0" fontId="4" fillId="0" borderId="42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2" fillId="0" borderId="32" xfId="52" applyFont="1" applyFill="1" applyBorder="1" applyAlignment="1">
      <alignment textRotation="90" wrapText="1"/>
      <protection/>
    </xf>
    <xf numFmtId="0" fontId="12" fillId="0" borderId="33" xfId="52" applyFont="1" applyFill="1" applyBorder="1" applyAlignment="1">
      <alignment textRotation="90" wrapText="1"/>
      <protection/>
    </xf>
    <xf numFmtId="0" fontId="12" fillId="0" borderId="40" xfId="52" applyFont="1" applyFill="1" applyBorder="1" applyAlignment="1">
      <alignment horizontal="center" textRotation="90" wrapText="1"/>
      <protection/>
    </xf>
    <xf numFmtId="0" fontId="12" fillId="0" borderId="37" xfId="52" applyFont="1" applyFill="1" applyBorder="1" applyAlignment="1">
      <alignment horizontal="center" textRotation="90" wrapText="1"/>
      <protection/>
    </xf>
    <xf numFmtId="0" fontId="12" fillId="0" borderId="43" xfId="52" applyFont="1" applyFill="1" applyBorder="1" applyAlignment="1">
      <alignment wrapText="1"/>
      <protection/>
    </xf>
    <xf numFmtId="0" fontId="12" fillId="0" borderId="31" xfId="52" applyFont="1" applyFill="1" applyBorder="1" applyAlignment="1">
      <alignment wrapText="1"/>
      <protection/>
    </xf>
    <xf numFmtId="0" fontId="12" fillId="0" borderId="43" xfId="52" applyFont="1" applyFill="1" applyBorder="1" applyAlignment="1">
      <alignment horizontal="center" textRotation="90" wrapText="1"/>
      <protection/>
    </xf>
    <xf numFmtId="0" fontId="12" fillId="0" borderId="31" xfId="52" applyFont="1" applyFill="1" applyBorder="1" applyAlignment="1">
      <alignment horizontal="center" textRotation="90" wrapText="1"/>
      <protection/>
    </xf>
    <xf numFmtId="0" fontId="12" fillId="0" borderId="43" xfId="52" applyFont="1" applyFill="1" applyBorder="1">
      <alignment/>
      <protection/>
    </xf>
    <xf numFmtId="0" fontId="12" fillId="0" borderId="31" xfId="52" applyFont="1" applyFill="1" applyBorder="1">
      <alignment/>
      <protection/>
    </xf>
    <xf numFmtId="0" fontId="12" fillId="0" borderId="41" xfId="52" applyFont="1" applyFill="1" applyBorder="1" applyAlignment="1">
      <alignment horizontal="left" wrapText="1"/>
      <protection/>
    </xf>
    <xf numFmtId="0" fontId="12" fillId="0" borderId="36" xfId="52" applyFont="1" applyFill="1" applyBorder="1" applyAlignment="1">
      <alignment horizontal="left" wrapText="1"/>
      <protection/>
    </xf>
    <xf numFmtId="164" fontId="5" fillId="33" borderId="17" xfId="52" applyNumberFormat="1" applyFont="1" applyFill="1" applyBorder="1" applyAlignment="1">
      <alignment horizontal="center"/>
      <protection/>
    </xf>
    <xf numFmtId="164" fontId="12" fillId="0" borderId="44" xfId="52" applyNumberFormat="1" applyFont="1" applyFill="1" applyBorder="1" applyAlignment="1">
      <alignment horizontal="center" vertical="center" wrapText="1"/>
      <protection/>
    </xf>
    <xf numFmtId="164" fontId="12" fillId="0" borderId="45" xfId="52" applyNumberFormat="1" applyFont="1" applyFill="1" applyBorder="1" applyAlignment="1">
      <alignment horizontal="center" vertical="center" wrapText="1"/>
      <protection/>
    </xf>
    <xf numFmtId="0" fontId="12" fillId="0" borderId="32" xfId="52" applyFont="1" applyFill="1" applyBorder="1" applyAlignment="1">
      <alignment horizontal="center" textRotation="90" wrapText="1"/>
      <protection/>
    </xf>
    <xf numFmtId="0" fontId="12" fillId="0" borderId="33" xfId="52" applyFont="1" applyFill="1" applyBorder="1" applyAlignment="1">
      <alignment horizontal="center" textRotation="90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12" fillId="0" borderId="46" xfId="52" applyFont="1" applyFill="1" applyBorder="1">
      <alignment/>
      <protection/>
    </xf>
    <xf numFmtId="0" fontId="12" fillId="0" borderId="34" xfId="52" applyFont="1" applyFill="1" applyBorder="1">
      <alignment/>
      <protection/>
    </xf>
    <xf numFmtId="164" fontId="12" fillId="0" borderId="47" xfId="52" applyNumberFormat="1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44" xfId="52" applyFont="1" applyFill="1" applyBorder="1" applyAlignment="1">
      <alignment horizontal="center" textRotation="90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10_0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Отдел по делам молодежи и спорту администрации Бикинского муниципального района</v>
          </cell>
        </row>
        <row r="25">
          <cell r="C25" t="str">
            <v>Открытое Первенство Бикинского района по спортивному туризму на пешеходных дистанциях в закрытых помещениях</v>
          </cell>
        </row>
        <row r="26">
          <cell r="C26" t="str">
            <v>22 декабря 2013г.</v>
          </cell>
        </row>
        <row r="27">
          <cell r="C27" t="str">
            <v>с. Лермонтовка</v>
          </cell>
        </row>
        <row r="29">
          <cell r="C29" t="str">
            <v>М.В. Халтурин</v>
          </cell>
        </row>
        <row r="30">
          <cell r="C30" t="str">
            <v>А.А. Ткач</v>
          </cell>
        </row>
        <row r="32">
          <cell r="C32" t="str">
            <v>А. И. Сидорова, СС3К, г. Брянск</v>
          </cell>
        </row>
        <row r="108">
          <cell r="D108" t="str">
            <v>дистанция - пешеходная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105.3</v>
          </cell>
          <cell r="B2" t="str">
            <v>Белгород</v>
          </cell>
          <cell r="E2" t="str">
            <v>105.3</v>
          </cell>
          <cell r="F2">
            <v>3</v>
          </cell>
          <cell r="H2" t="str">
            <v>уч9</v>
          </cell>
          <cell r="K2" t="str">
            <v>м</v>
          </cell>
          <cell r="M2">
            <v>1001</v>
          </cell>
          <cell r="N2">
            <v>1</v>
          </cell>
          <cell r="O2" t="str">
            <v>м</v>
          </cell>
          <cell r="P2">
            <v>5</v>
          </cell>
          <cell r="Q2">
            <v>0</v>
          </cell>
          <cell r="R2" t="str">
            <v/>
          </cell>
          <cell r="U2" t="str">
            <v/>
          </cell>
          <cell r="W2">
            <v>1</v>
          </cell>
        </row>
        <row r="3">
          <cell r="A3" t="str">
            <v>105.4</v>
          </cell>
          <cell r="B3" t="str">
            <v>Белгород</v>
          </cell>
          <cell r="E3" t="str">
            <v>105.4</v>
          </cell>
          <cell r="F3">
            <v>4</v>
          </cell>
          <cell r="H3" t="str">
            <v>уч10</v>
          </cell>
          <cell r="K3" t="str">
            <v>м</v>
          </cell>
          <cell r="M3">
            <v>1002</v>
          </cell>
          <cell r="N3">
            <v>1</v>
          </cell>
          <cell r="O3" t="str">
            <v>м</v>
          </cell>
          <cell r="P3">
            <v>5</v>
          </cell>
          <cell r="Q3">
            <v>0</v>
          </cell>
          <cell r="R3" t="str">
            <v/>
          </cell>
          <cell r="U3" t="str">
            <v/>
          </cell>
          <cell r="W3">
            <v>1</v>
          </cell>
        </row>
        <row r="4">
          <cell r="A4" t="str">
            <v>105.1</v>
          </cell>
          <cell r="B4" t="str">
            <v>Белгород</v>
          </cell>
          <cell r="E4" t="str">
            <v>105.1</v>
          </cell>
          <cell r="F4">
            <v>1</v>
          </cell>
          <cell r="H4" t="str">
            <v>уч7</v>
          </cell>
          <cell r="K4" t="str">
            <v>м</v>
          </cell>
          <cell r="M4">
            <v>1003</v>
          </cell>
          <cell r="N4">
            <v>1</v>
          </cell>
          <cell r="O4" t="str">
            <v>см</v>
          </cell>
          <cell r="P4">
            <v>5</v>
          </cell>
          <cell r="Q4">
            <v>0</v>
          </cell>
          <cell r="R4" t="str">
            <v/>
          </cell>
          <cell r="U4" t="str">
            <v/>
          </cell>
          <cell r="W4">
            <v>1</v>
          </cell>
        </row>
        <row r="5">
          <cell r="A5" t="str">
            <v>105.2</v>
          </cell>
          <cell r="B5" t="str">
            <v>Белгород</v>
          </cell>
          <cell r="E5" t="str">
            <v>105.2</v>
          </cell>
          <cell r="F5">
            <v>2</v>
          </cell>
          <cell r="H5" t="str">
            <v>уч8</v>
          </cell>
          <cell r="K5" t="str">
            <v>м</v>
          </cell>
          <cell r="N5">
            <v>1</v>
          </cell>
          <cell r="O5" t="str">
            <v>см</v>
          </cell>
          <cell r="P5">
            <v>5</v>
          </cell>
          <cell r="Q5">
            <v>0</v>
          </cell>
          <cell r="R5" t="str">
            <v/>
          </cell>
          <cell r="U5" t="str">
            <v/>
          </cell>
          <cell r="W5">
            <v>1</v>
          </cell>
        </row>
        <row r="6">
          <cell r="A6" t="str">
            <v>106.1</v>
          </cell>
          <cell r="B6" t="str">
            <v>Иркутск</v>
          </cell>
          <cell r="E6" t="str">
            <v>106.1</v>
          </cell>
          <cell r="F6">
            <v>1</v>
          </cell>
          <cell r="H6" t="str">
            <v>уч11</v>
          </cell>
          <cell r="K6" t="str">
            <v>м</v>
          </cell>
          <cell r="N6">
            <v>1</v>
          </cell>
          <cell r="P6">
            <v>6</v>
          </cell>
          <cell r="Q6">
            <v>0</v>
          </cell>
          <cell r="R6" t="str">
            <v/>
          </cell>
          <cell r="U6" t="str">
            <v/>
          </cell>
          <cell r="W6">
            <v>1</v>
          </cell>
        </row>
        <row r="7">
          <cell r="A7" t="str">
            <v>106.2</v>
          </cell>
          <cell r="B7" t="str">
            <v>Иркутск</v>
          </cell>
          <cell r="E7" t="str">
            <v>106.2</v>
          </cell>
          <cell r="F7">
            <v>2</v>
          </cell>
          <cell r="H7" t="str">
            <v>уч12</v>
          </cell>
          <cell r="K7" t="str">
            <v>м</v>
          </cell>
          <cell r="N7">
            <v>1</v>
          </cell>
          <cell r="P7">
            <v>6</v>
          </cell>
          <cell r="Q7">
            <v>0</v>
          </cell>
          <cell r="R7" t="str">
            <v/>
          </cell>
          <cell r="U7" t="str">
            <v/>
          </cell>
          <cell r="W7">
            <v>1</v>
          </cell>
        </row>
        <row r="8">
          <cell r="A8" t="str">
            <v>106.3</v>
          </cell>
          <cell r="B8" t="str">
            <v>Иркутск</v>
          </cell>
          <cell r="E8" t="str">
            <v>106.3</v>
          </cell>
          <cell r="F8">
            <v>3</v>
          </cell>
          <cell r="H8" t="str">
            <v>уч13</v>
          </cell>
          <cell r="K8" t="str">
            <v>м</v>
          </cell>
          <cell r="N8">
            <v>1</v>
          </cell>
          <cell r="P8">
            <v>6</v>
          </cell>
          <cell r="Q8">
            <v>0</v>
          </cell>
          <cell r="R8" t="str">
            <v/>
          </cell>
          <cell r="U8" t="str">
            <v/>
          </cell>
          <cell r="W8">
            <v>1</v>
          </cell>
        </row>
        <row r="9">
          <cell r="A9" t="str">
            <v>106.4</v>
          </cell>
          <cell r="B9" t="str">
            <v>Иркутск</v>
          </cell>
          <cell r="E9" t="str">
            <v>106.4</v>
          </cell>
          <cell r="F9">
            <v>4</v>
          </cell>
          <cell r="H9" t="str">
            <v>уч14</v>
          </cell>
          <cell r="K9" t="str">
            <v>м</v>
          </cell>
          <cell r="N9">
            <v>1</v>
          </cell>
          <cell r="P9">
            <v>6</v>
          </cell>
          <cell r="Q9">
            <v>0</v>
          </cell>
          <cell r="R9" t="str">
            <v/>
          </cell>
          <cell r="U9" t="str">
            <v/>
          </cell>
          <cell r="W9">
            <v>1</v>
          </cell>
        </row>
        <row r="10">
          <cell r="A10" t="str">
            <v>102.1</v>
          </cell>
          <cell r="B10" t="str">
            <v>Казахстан</v>
          </cell>
          <cell r="C10" t="str">
            <v>т1</v>
          </cell>
          <cell r="E10" t="str">
            <v>102.1</v>
          </cell>
          <cell r="F10">
            <v>1</v>
          </cell>
          <cell r="H10" t="str">
            <v>уч7</v>
          </cell>
          <cell r="J10" t="str">
            <v>б/р</v>
          </cell>
          <cell r="K10" t="str">
            <v>м</v>
          </cell>
          <cell r="N10">
            <v>1</v>
          </cell>
          <cell r="P10">
            <v>3</v>
          </cell>
          <cell r="Q10">
            <v>0</v>
          </cell>
          <cell r="R10" t="str">
            <v/>
          </cell>
          <cell r="U10" t="str">
            <v/>
          </cell>
          <cell r="W10">
            <v>1</v>
          </cell>
        </row>
        <row r="11">
          <cell r="A11" t="str">
            <v>102.2</v>
          </cell>
          <cell r="B11" t="str">
            <v>Казахстан</v>
          </cell>
          <cell r="C11" t="str">
            <v>т1</v>
          </cell>
          <cell r="E11" t="str">
            <v>102.2</v>
          </cell>
          <cell r="F11">
            <v>2</v>
          </cell>
          <cell r="H11" t="str">
            <v>уч5</v>
          </cell>
          <cell r="J11" t="str">
            <v>2ю</v>
          </cell>
          <cell r="K11" t="str">
            <v>м</v>
          </cell>
          <cell r="N11">
            <v>1</v>
          </cell>
          <cell r="P11">
            <v>3</v>
          </cell>
          <cell r="Q11">
            <v>0.1</v>
          </cell>
          <cell r="R11" t="str">
            <v/>
          </cell>
          <cell r="U11" t="str">
            <v/>
          </cell>
          <cell r="W11">
            <v>1</v>
          </cell>
        </row>
        <row r="12">
          <cell r="A12" t="str">
            <v>102.3</v>
          </cell>
          <cell r="B12" t="str">
            <v>Казахстан</v>
          </cell>
          <cell r="C12" t="str">
            <v>т1</v>
          </cell>
          <cell r="E12" t="str">
            <v>102.3</v>
          </cell>
          <cell r="F12">
            <v>3</v>
          </cell>
          <cell r="H12" t="str">
            <v>уч8</v>
          </cell>
          <cell r="J12" t="str">
            <v>б/р</v>
          </cell>
          <cell r="K12" t="str">
            <v>м</v>
          </cell>
          <cell r="N12">
            <v>1</v>
          </cell>
          <cell r="P12">
            <v>3</v>
          </cell>
          <cell r="Q12">
            <v>0</v>
          </cell>
          <cell r="R12" t="str">
            <v/>
          </cell>
          <cell r="U12" t="str">
            <v/>
          </cell>
          <cell r="W12">
            <v>1</v>
          </cell>
        </row>
        <row r="13">
          <cell r="A13" t="str">
            <v>102.4</v>
          </cell>
          <cell r="B13" t="str">
            <v>Казахстан</v>
          </cell>
          <cell r="C13" t="str">
            <v>т1</v>
          </cell>
          <cell r="E13" t="str">
            <v>102.4</v>
          </cell>
          <cell r="F13">
            <v>4</v>
          </cell>
          <cell r="H13" t="str">
            <v>уч9</v>
          </cell>
          <cell r="K13" t="str">
            <v>м</v>
          </cell>
          <cell r="N13">
            <v>1</v>
          </cell>
          <cell r="P13">
            <v>3</v>
          </cell>
          <cell r="Q13">
            <v>0</v>
          </cell>
          <cell r="R13" t="str">
            <v/>
          </cell>
          <cell r="U13" t="str">
            <v/>
          </cell>
          <cell r="W13">
            <v>1</v>
          </cell>
        </row>
        <row r="14">
          <cell r="A14" t="str">
            <v>102.1</v>
          </cell>
          <cell r="B14" t="str">
            <v>Казахстан</v>
          </cell>
          <cell r="E14" t="str">
            <v>102.1</v>
          </cell>
          <cell r="F14">
            <v>1</v>
          </cell>
          <cell r="H14" t="str">
            <v>уч7</v>
          </cell>
          <cell r="K14" t="str">
            <v>м</v>
          </cell>
          <cell r="N14">
            <v>1</v>
          </cell>
          <cell r="Q14">
            <v>0</v>
          </cell>
          <cell r="R14" t="str">
            <v/>
          </cell>
          <cell r="U14" t="str">
            <v/>
          </cell>
          <cell r="W14">
            <v>1</v>
          </cell>
        </row>
        <row r="15">
          <cell r="A15" t="str">
            <v>102.2</v>
          </cell>
          <cell r="B15" t="str">
            <v>Казахстан</v>
          </cell>
          <cell r="E15" t="str">
            <v>102.2</v>
          </cell>
          <cell r="F15">
            <v>2</v>
          </cell>
          <cell r="H15" t="str">
            <v>уч8</v>
          </cell>
          <cell r="K15" t="str">
            <v>м</v>
          </cell>
          <cell r="N15">
            <v>1</v>
          </cell>
          <cell r="Q15">
            <v>0</v>
          </cell>
          <cell r="R15" t="str">
            <v/>
          </cell>
          <cell r="U15" t="str">
            <v/>
          </cell>
          <cell r="W15">
            <v>1</v>
          </cell>
        </row>
        <row r="16">
          <cell r="A16" t="str">
            <v>102.4</v>
          </cell>
          <cell r="B16" t="str">
            <v>Казахстан</v>
          </cell>
          <cell r="E16" t="str">
            <v>102.4</v>
          </cell>
          <cell r="F16">
            <v>4</v>
          </cell>
          <cell r="H16" t="str">
            <v>уч10</v>
          </cell>
          <cell r="K16" t="str">
            <v>м</v>
          </cell>
          <cell r="N16">
            <v>1</v>
          </cell>
          <cell r="Q16">
            <v>0</v>
          </cell>
          <cell r="R16" t="str">
            <v/>
          </cell>
          <cell r="U16" t="str">
            <v/>
          </cell>
          <cell r="W16">
            <v>1</v>
          </cell>
        </row>
        <row r="17">
          <cell r="A17" t="str">
            <v>102.6</v>
          </cell>
          <cell r="B17" t="str">
            <v>Казахстан</v>
          </cell>
          <cell r="E17" t="str">
            <v>102.6</v>
          </cell>
          <cell r="F17">
            <v>6</v>
          </cell>
          <cell r="H17" t="str">
            <v>уч12</v>
          </cell>
          <cell r="K17" t="str">
            <v>м</v>
          </cell>
          <cell r="N17">
            <v>1</v>
          </cell>
          <cell r="Q17">
            <v>0</v>
          </cell>
          <cell r="R17" t="str">
            <v/>
          </cell>
          <cell r="U17" t="str">
            <v/>
          </cell>
          <cell r="W17">
            <v>1</v>
          </cell>
        </row>
        <row r="18">
          <cell r="A18" t="str">
            <v>102.3</v>
          </cell>
          <cell r="B18" t="str">
            <v>Казахстан</v>
          </cell>
          <cell r="E18" t="str">
            <v>102.3</v>
          </cell>
          <cell r="F18">
            <v>3</v>
          </cell>
          <cell r="H18" t="str">
            <v>уч9</v>
          </cell>
          <cell r="K18" t="str">
            <v>м</v>
          </cell>
          <cell r="N18">
            <v>1</v>
          </cell>
          <cell r="Q18">
            <v>0</v>
          </cell>
          <cell r="R18" t="str">
            <v/>
          </cell>
          <cell r="U18" t="str">
            <v/>
          </cell>
          <cell r="W18">
            <v>1</v>
          </cell>
        </row>
        <row r="19">
          <cell r="A19" t="str">
            <v>102.5</v>
          </cell>
          <cell r="B19" t="str">
            <v>Казахстан</v>
          </cell>
          <cell r="E19" t="str">
            <v>102.5</v>
          </cell>
          <cell r="F19">
            <v>5</v>
          </cell>
          <cell r="H19" t="str">
            <v>уч11</v>
          </cell>
          <cell r="K19" t="str">
            <v>м</v>
          </cell>
          <cell r="N19">
            <v>1</v>
          </cell>
          <cell r="Q19">
            <v>0</v>
          </cell>
          <cell r="R19" t="str">
            <v/>
          </cell>
          <cell r="U19" t="str">
            <v/>
          </cell>
          <cell r="W19">
            <v>1</v>
          </cell>
        </row>
        <row r="20">
          <cell r="A20" t="str">
            <v>1.3</v>
          </cell>
          <cell r="B20" t="str">
            <v>Сборная</v>
          </cell>
          <cell r="C20" t="str">
            <v>т1</v>
          </cell>
          <cell r="E20" t="str">
            <v>1.3</v>
          </cell>
          <cell r="F20">
            <v>3</v>
          </cell>
          <cell r="H20" t="str">
            <v>уч12</v>
          </cell>
          <cell r="K20" t="str">
            <v>м</v>
          </cell>
          <cell r="M20">
            <v>1008</v>
          </cell>
          <cell r="N20">
            <v>1</v>
          </cell>
          <cell r="O20" t="str">
            <v>см</v>
          </cell>
          <cell r="P20">
            <v>2</v>
          </cell>
          <cell r="Q20">
            <v>0</v>
          </cell>
          <cell r="R20" t="str">
            <v/>
          </cell>
          <cell r="U20" t="str">
            <v/>
          </cell>
          <cell r="W20">
            <v>1</v>
          </cell>
        </row>
        <row r="21">
          <cell r="A21" t="str">
            <v>1.2</v>
          </cell>
          <cell r="B21" t="str">
            <v>Сборная</v>
          </cell>
          <cell r="C21" t="str">
            <v>т1</v>
          </cell>
          <cell r="E21" t="str">
            <v>1.2</v>
          </cell>
          <cell r="F21">
            <v>2</v>
          </cell>
          <cell r="H21" t="str">
            <v>уч11</v>
          </cell>
          <cell r="K21" t="str">
            <v>м</v>
          </cell>
          <cell r="N21">
            <v>1</v>
          </cell>
          <cell r="O21" t="str">
            <v>см</v>
          </cell>
          <cell r="P21">
            <v>2</v>
          </cell>
          <cell r="Q21">
            <v>0</v>
          </cell>
          <cell r="R21" t="str">
            <v/>
          </cell>
          <cell r="U21" t="str">
            <v/>
          </cell>
          <cell r="W21">
            <v>1</v>
          </cell>
        </row>
        <row r="22">
          <cell r="A22" t="str">
            <v>1.1</v>
          </cell>
          <cell r="B22" t="str">
            <v>Сборная</v>
          </cell>
          <cell r="C22" t="str">
            <v>т1</v>
          </cell>
          <cell r="E22" t="str">
            <v>1.1</v>
          </cell>
          <cell r="F22">
            <v>1</v>
          </cell>
          <cell r="H22" t="str">
            <v>уч10</v>
          </cell>
          <cell r="K22" t="str">
            <v>м</v>
          </cell>
          <cell r="N22">
            <v>1</v>
          </cell>
          <cell r="P22">
            <v>2</v>
          </cell>
          <cell r="Q22">
            <v>0</v>
          </cell>
          <cell r="R22" t="str">
            <v/>
          </cell>
          <cell r="U22" t="str">
            <v/>
          </cell>
          <cell r="W22">
            <v>1</v>
          </cell>
        </row>
        <row r="23">
          <cell r="A23" t="str">
            <v>1.4</v>
          </cell>
          <cell r="B23" t="str">
            <v>Сборная</v>
          </cell>
          <cell r="C23" t="str">
            <v>т1</v>
          </cell>
          <cell r="E23" t="str">
            <v>1.4</v>
          </cell>
          <cell r="F23">
            <v>4</v>
          </cell>
          <cell r="H23" t="str">
            <v>уч13</v>
          </cell>
          <cell r="K23" t="str">
            <v>м</v>
          </cell>
          <cell r="N23">
            <v>1</v>
          </cell>
          <cell r="P23">
            <v>2</v>
          </cell>
          <cell r="Q23">
            <v>0</v>
          </cell>
          <cell r="R23" t="str">
            <v/>
          </cell>
          <cell r="U23" t="str">
            <v/>
          </cell>
          <cell r="W23">
            <v>1</v>
          </cell>
        </row>
        <row r="24">
          <cell r="A24" t="str">
            <v>1.6</v>
          </cell>
          <cell r="B24" t="str">
            <v>Сборная</v>
          </cell>
          <cell r="C24" t="str">
            <v>т1</v>
          </cell>
          <cell r="E24" t="str">
            <v>1.6</v>
          </cell>
          <cell r="F24">
            <v>6</v>
          </cell>
          <cell r="H24" t="str">
            <v>уч1</v>
          </cell>
          <cell r="I24" t="str">
            <v>31.08.1983</v>
          </cell>
          <cell r="J24" t="str">
            <v>МС</v>
          </cell>
          <cell r="K24" t="str">
            <v>м</v>
          </cell>
          <cell r="M24">
            <v>1005</v>
          </cell>
          <cell r="N24">
            <v>1</v>
          </cell>
          <cell r="O24" t="str">
            <v>м</v>
          </cell>
          <cell r="Q24">
            <v>30</v>
          </cell>
          <cell r="R24">
            <v>1983</v>
          </cell>
          <cell r="U24" t="str">
            <v/>
          </cell>
          <cell r="W24">
            <v>1</v>
          </cell>
        </row>
        <row r="25">
          <cell r="A25" t="str">
            <v>1.5</v>
          </cell>
          <cell r="B25" t="str">
            <v>Сборная</v>
          </cell>
          <cell r="C25" t="str">
            <v>т1</v>
          </cell>
          <cell r="E25" t="str">
            <v>1.5</v>
          </cell>
          <cell r="F25">
            <v>5</v>
          </cell>
          <cell r="H25" t="str">
            <v>уч4</v>
          </cell>
          <cell r="I25" t="str">
            <v>2000</v>
          </cell>
          <cell r="J25" t="str">
            <v>б/р</v>
          </cell>
          <cell r="K25" t="str">
            <v>м</v>
          </cell>
          <cell r="M25">
            <v>1006</v>
          </cell>
          <cell r="N25">
            <v>1</v>
          </cell>
          <cell r="O25" t="str">
            <v>м</v>
          </cell>
          <cell r="Q25">
            <v>0</v>
          </cell>
          <cell r="R25">
            <v>2000</v>
          </cell>
          <cell r="U25" t="str">
            <v/>
          </cell>
          <cell r="W25">
            <v>1</v>
          </cell>
        </row>
        <row r="26">
          <cell r="A26" t="str">
            <v>1.7</v>
          </cell>
          <cell r="B26" t="str">
            <v>Сборная</v>
          </cell>
          <cell r="C26" t="str">
            <v>т1</v>
          </cell>
          <cell r="E26" t="str">
            <v>1.7</v>
          </cell>
          <cell r="F26">
            <v>7</v>
          </cell>
          <cell r="H26" t="str">
            <v>уч2</v>
          </cell>
          <cell r="I26" t="str">
            <v>12.06.1980</v>
          </cell>
          <cell r="J26" t="str">
            <v>КМС</v>
          </cell>
          <cell r="K26" t="str">
            <v>м</v>
          </cell>
          <cell r="N26">
            <v>1</v>
          </cell>
          <cell r="Q26">
            <v>10</v>
          </cell>
          <cell r="R26">
            <v>1980</v>
          </cell>
          <cell r="U26" t="str">
            <v/>
          </cell>
          <cell r="W26">
            <v>1</v>
          </cell>
        </row>
        <row r="27">
          <cell r="A27" t="str">
            <v>1.8</v>
          </cell>
          <cell r="B27" t="str">
            <v>Сборная</v>
          </cell>
          <cell r="C27" t="str">
            <v>т1</v>
          </cell>
          <cell r="E27" t="str">
            <v>1.8</v>
          </cell>
          <cell r="F27">
            <v>8</v>
          </cell>
          <cell r="H27" t="str">
            <v>уч3</v>
          </cell>
          <cell r="I27" t="str">
            <v>10.05.47</v>
          </cell>
          <cell r="J27" t="str">
            <v>III</v>
          </cell>
          <cell r="K27" t="str">
            <v>м</v>
          </cell>
          <cell r="N27">
            <v>1</v>
          </cell>
          <cell r="Q27">
            <v>1</v>
          </cell>
          <cell r="R27">
            <v>1947</v>
          </cell>
          <cell r="U27" t="str">
            <v/>
          </cell>
          <cell r="W27">
            <v>1</v>
          </cell>
        </row>
        <row r="28">
          <cell r="A28" t="str">
            <v>1.9</v>
          </cell>
          <cell r="B28" t="str">
            <v>Сборная</v>
          </cell>
          <cell r="C28" t="str">
            <v>т1</v>
          </cell>
          <cell r="E28" t="str">
            <v>1.9</v>
          </cell>
          <cell r="F28">
            <v>9</v>
          </cell>
          <cell r="H28" t="str">
            <v>уч6</v>
          </cell>
          <cell r="J28" t="str">
            <v>б/р</v>
          </cell>
          <cell r="K28" t="str">
            <v>м</v>
          </cell>
          <cell r="N28">
            <v>1</v>
          </cell>
          <cell r="Q28">
            <v>0</v>
          </cell>
          <cell r="R28" t="str">
            <v/>
          </cell>
          <cell r="U28" t="str">
            <v/>
          </cell>
          <cell r="W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"/>
  <sheetViews>
    <sheetView zoomScale="115" zoomScaleNormal="115" zoomScalePageLayoutView="0" workbookViewId="0" topLeftCell="A6">
      <selection activeCell="F15" sqref="F15"/>
    </sheetView>
  </sheetViews>
  <sheetFormatPr defaultColWidth="9.140625" defaultRowHeight="15" outlineLevelRow="1"/>
  <cols>
    <col min="2" max="2" width="0" style="0" hidden="1" customWidth="1"/>
    <col min="3" max="3" width="21.8515625" style="0" customWidth="1"/>
    <col min="6" max="6" width="15.421875" style="0" customWidth="1"/>
    <col min="7" max="7" width="16.7109375" style="0" customWidth="1"/>
    <col min="8" max="20" width="0" style="0" hidden="1" customWidth="1"/>
    <col min="22" max="29" width="0" style="0" hidden="1" customWidth="1"/>
    <col min="36" max="59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107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87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74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45" t="s">
        <v>17</v>
      </c>
      <c r="AI5" s="1"/>
      <c r="AJ5" s="26"/>
      <c r="AK5" s="164" t="s">
        <v>18</v>
      </c>
      <c r="AL5" s="165"/>
      <c r="AM5" s="165"/>
      <c r="AN5" s="165"/>
      <c r="AO5" s="165"/>
      <c r="AP5" s="165"/>
      <c r="AQ5" s="165"/>
      <c r="AR5" s="165"/>
      <c r="AS5" s="165"/>
      <c r="AT5" s="166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88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75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46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7" s="5" customFormat="1" ht="13.5" customHeight="1">
      <c r="A7" s="80">
        <v>1</v>
      </c>
      <c r="B7" s="53" t="s">
        <v>66</v>
      </c>
      <c r="C7" s="147" t="s">
        <v>67</v>
      </c>
      <c r="D7" s="152">
        <v>2000</v>
      </c>
      <c r="E7" s="153" t="s">
        <v>54</v>
      </c>
      <c r="F7" s="150" t="s">
        <v>56</v>
      </c>
      <c r="G7" s="151" t="s">
        <v>57</v>
      </c>
      <c r="H7" s="81">
        <f aca="true" t="shared" si="0" ref="H7:H13"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0.0008217592592592592</v>
      </c>
      <c r="V7" s="62">
        <f aca="true" t="shared" si="1" ref="V7:V13">COUNTIF(I7:R7,"сн")</f>
        <v>0</v>
      </c>
      <c r="W7" s="63">
        <f aca="true" t="shared" si="2" ref="W7:W13">SUM(AK7:AT7)</f>
        <v>0</v>
      </c>
      <c r="X7" s="64">
        <f aca="true" t="shared" si="3" ref="X7:X13">SUM(I7:R7)</f>
        <v>0</v>
      </c>
      <c r="Y7" s="65">
        <f aca="true" t="shared" si="4" ref="Y7:Y13">IF(X7&gt;0,X7*$BA$5,"")</f>
      </c>
      <c r="Z7" s="65">
        <f aca="true" t="shared" si="5" ref="Z7:Z13">IF(AND($BB$5&lt;&gt;0,V7&gt;0),V7*$BB$5,"")</f>
      </c>
      <c r="AA7" s="65">
        <f aca="true" t="shared" si="6" ref="AA7:AA13">IF(AJ7&gt;0,AJ7*$BC$5,"")</f>
      </c>
      <c r="AB7" s="66">
        <f aca="true" t="shared" si="7" ref="AB7:AB13">SUM(Y7:AA7)</f>
        <v>0</v>
      </c>
      <c r="AC7" s="67">
        <f aca="true" t="shared" si="8" ref="AC7:AC13">IF(T7="сн с дист","-",IF(ISNUMBER(U7),U7-W7+AB7,""))</f>
        <v>0.0008217592592592592</v>
      </c>
      <c r="AD7" s="68">
        <f aca="true" t="shared" si="9" ref="AD7:AD13">U7</f>
        <v>0.0008217592592592592</v>
      </c>
      <c r="AE7" s="86" t="s">
        <v>54</v>
      </c>
      <c r="AF7" s="70">
        <f aca="true" t="shared" si="10" ref="AF7:AF13">IF(AX7=0,AD7/SMALL($AD$7:$AD$13,1),"")</f>
        <v>1</v>
      </c>
      <c r="AG7" s="87"/>
      <c r="AH7" s="88">
        <f aca="true" t="shared" si="11" ref="AH7:AH13">IF(ISNA(VLOOKUP($B7,DataLichVPR,23,0)),"",IF(VLOOKUP($B7,DataLichVPR,23,0)&gt;0,"(*)",""))</f>
      </c>
      <c r="AI7" s="90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 aca="true" t="shared" si="12" ref="AU7:AU13">IF(ISNA(VLOOKUP($B7,DataLichVPR,17,0)),"",VLOOKUP($B7,DataLichVPR,17,0))</f>
      </c>
      <c r="AV7" s="76">
        <f aca="true" t="shared" si="13" ref="AV7:AV13">IF(ISNA(VLOOKUP($B7,DataLichVPR,11,0)),"",VLOOKUP($B7,DataLichVPR,11,0))</f>
      </c>
      <c r="AW7" s="76">
        <f aca="true" t="shared" si="14" ref="AW7:AW13">IF(ISNA(VLOOKUP($B7,DataLichVPR,12,0)),"",IF(VLOOKUP($B7,DataLichVPR,12,0)=0,"",VLOOKUP($B7,DataLichVPR,12,0)))</f>
      </c>
      <c r="AX7" s="77">
        <f aca="true" t="shared" si="15" ref="AX7:AX13">IF(ISNUMBER(AD7),0,IF(AD7="прев. КВ",2,IF(AD7="сн с этапов",1,IF(AD7="не фин.",4,3))))</f>
        <v>0</v>
      </c>
      <c r="AY7" s="78">
        <f aca="true" t="shared" si="16" ref="AY7:AY13">IF($BB$5&lt;&gt;0,0,V7)</f>
        <v>0</v>
      </c>
      <c r="AZ7" s="79">
        <f aca="true" t="shared" si="17" ref="AZ7:AZ13">IF(U7&lt;&gt;"",AC7,"")</f>
        <v>0.0008217592592592592</v>
      </c>
      <c r="BA7" s="8"/>
      <c r="BB7" s="8"/>
      <c r="BC7" s="8"/>
      <c r="BD7" s="8"/>
      <c r="BE7" s="8"/>
    </row>
    <row r="8" spans="1:52" s="5" customFormat="1" ht="13.5" customHeight="1">
      <c r="A8" s="80">
        <v>2</v>
      </c>
      <c r="B8" s="53" t="s">
        <v>63</v>
      </c>
      <c r="C8" s="147" t="s">
        <v>64</v>
      </c>
      <c r="D8" s="152">
        <v>2000</v>
      </c>
      <c r="E8" s="153" t="s">
        <v>65</v>
      </c>
      <c r="F8" s="150" t="s">
        <v>56</v>
      </c>
      <c r="G8" s="151" t="s">
        <v>57</v>
      </c>
      <c r="H8" s="81">
        <f t="shared" si="0"/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0.0010300925925925926</v>
      </c>
      <c r="V8" s="62">
        <f t="shared" si="1"/>
        <v>0</v>
      </c>
      <c r="W8" s="63">
        <f t="shared" si="2"/>
        <v>0</v>
      </c>
      <c r="X8" s="64">
        <f t="shared" si="3"/>
        <v>0</v>
      </c>
      <c r="Y8" s="65">
        <f t="shared" si="4"/>
      </c>
      <c r="Z8" s="65">
        <f t="shared" si="5"/>
      </c>
      <c r="AA8" s="65">
        <f t="shared" si="6"/>
      </c>
      <c r="AB8" s="66">
        <f t="shared" si="7"/>
        <v>0</v>
      </c>
      <c r="AC8" s="67">
        <f t="shared" si="8"/>
        <v>0.0010300925925925926</v>
      </c>
      <c r="AD8" s="68">
        <f t="shared" si="9"/>
        <v>0.0010300925925925926</v>
      </c>
      <c r="AE8" s="86" t="s">
        <v>65</v>
      </c>
      <c r="AF8" s="70">
        <f t="shared" si="10"/>
        <v>1.2535211267605635</v>
      </c>
      <c r="AG8" s="87"/>
      <c r="AH8" s="88">
        <f t="shared" si="11"/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 t="shared" si="12"/>
      </c>
      <c r="AV8" s="76">
        <f t="shared" si="13"/>
      </c>
      <c r="AW8" s="76">
        <f t="shared" si="14"/>
      </c>
      <c r="AX8" s="77">
        <f t="shared" si="15"/>
        <v>0</v>
      </c>
      <c r="AY8" s="78">
        <f t="shared" si="16"/>
        <v>0</v>
      </c>
      <c r="AZ8" s="79">
        <f t="shared" si="17"/>
        <v>0.0010300925925925926</v>
      </c>
    </row>
    <row r="9" spans="1:52" s="5" customFormat="1" ht="13.5" customHeight="1">
      <c r="A9" s="80">
        <v>3</v>
      </c>
      <c r="B9" s="53" t="s">
        <v>68</v>
      </c>
      <c r="C9" s="147" t="s">
        <v>69</v>
      </c>
      <c r="D9" s="152">
        <v>2000</v>
      </c>
      <c r="E9" s="153" t="s">
        <v>65</v>
      </c>
      <c r="F9" s="150" t="s">
        <v>56</v>
      </c>
      <c r="G9" s="151" t="s">
        <v>57</v>
      </c>
      <c r="H9" s="81">
        <f t="shared" si="0"/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0.0012152777777777778</v>
      </c>
      <c r="V9" s="62">
        <f t="shared" si="1"/>
        <v>0</v>
      </c>
      <c r="W9" s="63">
        <f t="shared" si="2"/>
        <v>0</v>
      </c>
      <c r="X9" s="64">
        <f t="shared" si="3"/>
        <v>0</v>
      </c>
      <c r="Y9" s="65">
        <f t="shared" si="4"/>
      </c>
      <c r="Z9" s="65">
        <f t="shared" si="5"/>
      </c>
      <c r="AA9" s="65">
        <f t="shared" si="6"/>
      </c>
      <c r="AB9" s="66">
        <f t="shared" si="7"/>
        <v>0</v>
      </c>
      <c r="AC9" s="67">
        <f t="shared" si="8"/>
        <v>0.0012152777777777778</v>
      </c>
      <c r="AD9" s="68">
        <f t="shared" si="9"/>
        <v>0.0012152777777777778</v>
      </c>
      <c r="AE9" s="86" t="s">
        <v>90</v>
      </c>
      <c r="AF9" s="70">
        <f t="shared" si="10"/>
        <v>1.47887323943662</v>
      </c>
      <c r="AG9" s="87"/>
      <c r="AH9" s="88">
        <f t="shared" si="11"/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 t="shared" si="12"/>
      </c>
      <c r="AV9" s="76">
        <f t="shared" si="13"/>
      </c>
      <c r="AW9" s="76">
        <f t="shared" si="14"/>
      </c>
      <c r="AX9" s="77">
        <f t="shared" si="15"/>
        <v>0</v>
      </c>
      <c r="AY9" s="78">
        <f t="shared" si="16"/>
        <v>0</v>
      </c>
      <c r="AZ9" s="79">
        <f t="shared" si="17"/>
        <v>0.0012152777777777778</v>
      </c>
    </row>
    <row r="10" spans="1:52" s="5" customFormat="1" ht="13.5" customHeight="1">
      <c r="A10" s="80">
        <v>4</v>
      </c>
      <c r="B10" s="53" t="s">
        <v>88</v>
      </c>
      <c r="C10" s="147" t="s">
        <v>83</v>
      </c>
      <c r="D10" s="152">
        <v>2000</v>
      </c>
      <c r="E10" s="153" t="s">
        <v>90</v>
      </c>
      <c r="F10" s="150" t="s">
        <v>91</v>
      </c>
      <c r="G10" s="151" t="s">
        <v>92</v>
      </c>
      <c r="H10" s="81">
        <f t="shared" si="0"/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0.0014467592592592594</v>
      </c>
      <c r="V10" s="62">
        <f t="shared" si="1"/>
        <v>0</v>
      </c>
      <c r="W10" s="63">
        <f t="shared" si="2"/>
        <v>0</v>
      </c>
      <c r="X10" s="64">
        <f t="shared" si="3"/>
        <v>0</v>
      </c>
      <c r="Y10" s="65">
        <f t="shared" si="4"/>
      </c>
      <c r="Z10" s="65">
        <f t="shared" si="5"/>
      </c>
      <c r="AA10" s="65">
        <f t="shared" si="6"/>
      </c>
      <c r="AB10" s="66">
        <f t="shared" si="7"/>
        <v>0</v>
      </c>
      <c r="AC10" s="67">
        <f t="shared" si="8"/>
        <v>0.0014467592592592594</v>
      </c>
      <c r="AD10" s="68">
        <f t="shared" si="9"/>
        <v>0.0014467592592592594</v>
      </c>
      <c r="AE10" s="86">
        <v>4</v>
      </c>
      <c r="AF10" s="70">
        <f t="shared" si="10"/>
        <v>1.7605633802816905</v>
      </c>
      <c r="AG10" s="87"/>
      <c r="AH10" s="88">
        <f t="shared" si="11"/>
      </c>
      <c r="AI10" s="89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 t="shared" si="12"/>
      </c>
      <c r="AV10" s="76">
        <f t="shared" si="13"/>
      </c>
      <c r="AW10" s="76">
        <f t="shared" si="14"/>
      </c>
      <c r="AX10" s="77">
        <f t="shared" si="15"/>
        <v>0</v>
      </c>
      <c r="AY10" s="78">
        <f t="shared" si="16"/>
        <v>0</v>
      </c>
      <c r="AZ10" s="79">
        <f t="shared" si="17"/>
        <v>0.0014467592592592594</v>
      </c>
    </row>
    <row r="11" spans="1:52" s="5" customFormat="1" ht="13.5" customHeight="1">
      <c r="A11" s="80">
        <v>5</v>
      </c>
      <c r="B11" s="53" t="s">
        <v>72</v>
      </c>
      <c r="C11" s="147" t="s">
        <v>73</v>
      </c>
      <c r="D11" s="152">
        <v>2000</v>
      </c>
      <c r="E11" s="153" t="s">
        <v>65</v>
      </c>
      <c r="F11" s="150" t="s">
        <v>56</v>
      </c>
      <c r="G11" s="151" t="s">
        <v>57</v>
      </c>
      <c r="H11" s="81">
        <f t="shared" si="0"/>
      </c>
      <c r="I11" s="82"/>
      <c r="J11" s="83"/>
      <c r="K11" s="83"/>
      <c r="L11" s="83"/>
      <c r="M11" s="83"/>
      <c r="N11" s="83"/>
      <c r="O11" s="83"/>
      <c r="P11" s="84"/>
      <c r="Q11" s="84"/>
      <c r="R11" s="85"/>
      <c r="S11" s="59"/>
      <c r="T11" s="60"/>
      <c r="U11" s="61">
        <v>0.0014699074074074074</v>
      </c>
      <c r="V11" s="62">
        <f t="shared" si="1"/>
        <v>0</v>
      </c>
      <c r="W11" s="63">
        <f t="shared" si="2"/>
        <v>0</v>
      </c>
      <c r="X11" s="64">
        <f t="shared" si="3"/>
        <v>0</v>
      </c>
      <c r="Y11" s="65">
        <f t="shared" si="4"/>
      </c>
      <c r="Z11" s="65">
        <f t="shared" si="5"/>
      </c>
      <c r="AA11" s="65">
        <f t="shared" si="6"/>
      </c>
      <c r="AB11" s="66">
        <f t="shared" si="7"/>
        <v>0</v>
      </c>
      <c r="AC11" s="67">
        <f t="shared" si="8"/>
        <v>0.0014699074074074074</v>
      </c>
      <c r="AD11" s="68">
        <f t="shared" si="9"/>
        <v>0.0014699074074074074</v>
      </c>
      <c r="AE11" s="86">
        <v>5</v>
      </c>
      <c r="AF11" s="70">
        <f t="shared" si="10"/>
        <v>1.7887323943661975</v>
      </c>
      <c r="AG11" s="87"/>
      <c r="AH11" s="88">
        <f t="shared" si="11"/>
      </c>
      <c r="AI11" s="89"/>
      <c r="AJ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>
        <f t="shared" si="12"/>
      </c>
      <c r="AV11" s="76">
        <f t="shared" si="13"/>
      </c>
      <c r="AW11" s="76">
        <f t="shared" si="14"/>
      </c>
      <c r="AX11" s="77">
        <f t="shared" si="15"/>
        <v>0</v>
      </c>
      <c r="AY11" s="78">
        <f t="shared" si="16"/>
        <v>0</v>
      </c>
      <c r="AZ11" s="79">
        <f t="shared" si="17"/>
        <v>0.0014699074074074074</v>
      </c>
    </row>
    <row r="12" spans="1:52" s="5" customFormat="1" ht="13.5" customHeight="1">
      <c r="A12" s="80">
        <v>6</v>
      </c>
      <c r="B12" s="53" t="s">
        <v>70</v>
      </c>
      <c r="C12" s="147" t="s">
        <v>71</v>
      </c>
      <c r="D12" s="152">
        <v>2001</v>
      </c>
      <c r="E12" s="153" t="s">
        <v>65</v>
      </c>
      <c r="F12" s="150" t="s">
        <v>56</v>
      </c>
      <c r="G12" s="151" t="s">
        <v>57</v>
      </c>
      <c r="H12" s="81">
        <f t="shared" si="0"/>
      </c>
      <c r="I12" s="82"/>
      <c r="J12" s="83"/>
      <c r="K12" s="83"/>
      <c r="L12" s="83"/>
      <c r="M12" s="83"/>
      <c r="N12" s="83"/>
      <c r="O12" s="83"/>
      <c r="P12" s="84"/>
      <c r="Q12" s="84"/>
      <c r="R12" s="85"/>
      <c r="S12" s="59"/>
      <c r="T12" s="60"/>
      <c r="U12" s="61">
        <v>0.0014930555555555556</v>
      </c>
      <c r="V12" s="62">
        <f t="shared" si="1"/>
        <v>0</v>
      </c>
      <c r="W12" s="63">
        <f t="shared" si="2"/>
        <v>0</v>
      </c>
      <c r="X12" s="64">
        <f t="shared" si="3"/>
        <v>0</v>
      </c>
      <c r="Y12" s="65">
        <f t="shared" si="4"/>
      </c>
      <c r="Z12" s="65">
        <f t="shared" si="5"/>
      </c>
      <c r="AA12" s="65">
        <f t="shared" si="6"/>
      </c>
      <c r="AB12" s="66">
        <f t="shared" si="7"/>
        <v>0</v>
      </c>
      <c r="AC12" s="67">
        <f t="shared" si="8"/>
        <v>0.0014930555555555556</v>
      </c>
      <c r="AD12" s="68">
        <f t="shared" si="9"/>
        <v>0.0014930555555555556</v>
      </c>
      <c r="AE12" s="86">
        <v>6</v>
      </c>
      <c r="AF12" s="70">
        <f t="shared" si="10"/>
        <v>1.8169014084507045</v>
      </c>
      <c r="AG12" s="87"/>
      <c r="AH12" s="88">
        <f t="shared" si="11"/>
      </c>
      <c r="AI12" s="89"/>
      <c r="AJ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5">
        <f t="shared" si="12"/>
      </c>
      <c r="AV12" s="76">
        <f t="shared" si="13"/>
      </c>
      <c r="AW12" s="76">
        <f t="shared" si="14"/>
      </c>
      <c r="AX12" s="77">
        <f t="shared" si="15"/>
        <v>0</v>
      </c>
      <c r="AY12" s="78">
        <f t="shared" si="16"/>
        <v>0</v>
      </c>
      <c r="AZ12" s="79">
        <f t="shared" si="17"/>
        <v>0.0014930555555555556</v>
      </c>
    </row>
    <row r="13" spans="1:52" s="5" customFormat="1" ht="13.5" customHeight="1">
      <c r="A13" s="80">
        <v>7</v>
      </c>
      <c r="B13" s="53" t="s">
        <v>74</v>
      </c>
      <c r="C13" s="147" t="s">
        <v>75</v>
      </c>
      <c r="D13" s="152">
        <v>2001</v>
      </c>
      <c r="E13" s="153" t="s">
        <v>65</v>
      </c>
      <c r="F13" s="150" t="s">
        <v>56</v>
      </c>
      <c r="G13" s="151" t="s">
        <v>57</v>
      </c>
      <c r="H13" s="81">
        <f t="shared" si="0"/>
      </c>
      <c r="I13" s="82"/>
      <c r="J13" s="83"/>
      <c r="K13" s="83"/>
      <c r="L13" s="83"/>
      <c r="M13" s="83"/>
      <c r="N13" s="83"/>
      <c r="O13" s="83"/>
      <c r="P13" s="84"/>
      <c r="Q13" s="84"/>
      <c r="R13" s="85"/>
      <c r="S13" s="59"/>
      <c r="T13" s="60"/>
      <c r="U13" s="61">
        <v>0.002002314814814815</v>
      </c>
      <c r="V13" s="62">
        <f t="shared" si="1"/>
        <v>0</v>
      </c>
      <c r="W13" s="63">
        <f t="shared" si="2"/>
        <v>0</v>
      </c>
      <c r="X13" s="64">
        <f t="shared" si="3"/>
        <v>0</v>
      </c>
      <c r="Y13" s="65">
        <f t="shared" si="4"/>
      </c>
      <c r="Z13" s="65">
        <f t="shared" si="5"/>
      </c>
      <c r="AA13" s="65">
        <f t="shared" si="6"/>
      </c>
      <c r="AB13" s="66">
        <f t="shared" si="7"/>
        <v>0</v>
      </c>
      <c r="AC13" s="67">
        <f t="shared" si="8"/>
        <v>0.002002314814814815</v>
      </c>
      <c r="AD13" s="68">
        <f t="shared" si="9"/>
        <v>0.002002314814814815</v>
      </c>
      <c r="AE13" s="86">
        <v>7</v>
      </c>
      <c r="AF13" s="70">
        <f t="shared" si="10"/>
        <v>2.4366197183098595</v>
      </c>
      <c r="AG13" s="87"/>
      <c r="AH13" s="88">
        <f t="shared" si="11"/>
      </c>
      <c r="AI13" s="89"/>
      <c r="AJ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>
        <f t="shared" si="12"/>
      </c>
      <c r="AV13" s="76">
        <f t="shared" si="13"/>
      </c>
      <c r="AW13" s="76">
        <f t="shared" si="14"/>
      </c>
      <c r="AX13" s="77">
        <f t="shared" si="15"/>
        <v>0</v>
      </c>
      <c r="AY13" s="78">
        <f t="shared" si="16"/>
        <v>0</v>
      </c>
      <c r="AZ13" s="79">
        <f t="shared" si="17"/>
        <v>0.002002314814814815</v>
      </c>
    </row>
    <row r="14" spans="1:52" s="108" customFormat="1" ht="15" outlineLevel="1">
      <c r="A14" s="91"/>
      <c r="B14" s="92"/>
      <c r="C14" s="91"/>
      <c r="D14" s="93"/>
      <c r="E14" s="94" t="s">
        <v>52</v>
      </c>
      <c r="F14" s="95">
        <v>0</v>
      </c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100"/>
      <c r="V14" s="101"/>
      <c r="W14" s="98"/>
      <c r="X14" s="102"/>
      <c r="Y14" s="99"/>
      <c r="Z14" s="99"/>
      <c r="AA14" s="99"/>
      <c r="AB14" s="99"/>
      <c r="AC14" s="98"/>
      <c r="AD14" s="103"/>
      <c r="AE14" s="104"/>
      <c r="AF14" s="105"/>
      <c r="AG14" s="98"/>
      <c r="AH14" s="98"/>
      <c r="AI14" s="106"/>
      <c r="AJ14" s="101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07"/>
      <c r="AV14" s="98"/>
      <c r="AW14" s="98"/>
      <c r="AX14" s="98"/>
      <c r="AY14" s="98"/>
      <c r="AZ14" s="98"/>
    </row>
    <row r="15" spans="1:52" s="98" customFormat="1" ht="26.25" customHeight="1" outlineLevel="1">
      <c r="A15" s="109" t="str">
        <f>CONCATENATE("Главный судья_________________________ /",SignGlSud,"/")</f>
        <v>Главный судья_________________________ /М.В. Халтурин/</v>
      </c>
      <c r="B15" s="97"/>
      <c r="C15" s="97"/>
      <c r="D15" s="97"/>
      <c r="E15" s="110"/>
      <c r="F15" s="111"/>
      <c r="G15" s="96"/>
      <c r="H15" s="112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5"/>
      <c r="T15" s="115"/>
      <c r="U15" s="116"/>
      <c r="V15" s="117"/>
      <c r="W15" s="114"/>
      <c r="X15" s="118"/>
      <c r="Y15" s="115"/>
      <c r="Z15" s="115"/>
      <c r="AA15" s="115"/>
      <c r="AB15" s="115"/>
      <c r="AC15" s="114"/>
      <c r="AD15" s="119"/>
      <c r="AE15" s="102"/>
      <c r="AG15" s="105"/>
      <c r="AH15" s="105"/>
      <c r="AI15" s="120"/>
      <c r="AJ15" s="101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21"/>
      <c r="AV15" s="122"/>
      <c r="AW15" s="122"/>
      <c r="AX15" s="123"/>
      <c r="AY15" s="123"/>
      <c r="AZ15" s="123"/>
    </row>
    <row r="16" spans="1:49" s="98" customFormat="1" ht="27" customHeight="1" outlineLevel="1">
      <c r="A16" s="109" t="str">
        <f>CONCATENATE("Главный секретарь _____________________ /",SignGlSec,"/")</f>
        <v>Главный секретарь _____________________ /А.А. Ткач/</v>
      </c>
      <c r="C16" s="124"/>
      <c r="D16" s="124"/>
      <c r="E16" s="125"/>
      <c r="G16" s="126"/>
      <c r="H16" s="12"/>
      <c r="I16" s="13"/>
      <c r="K16" s="13"/>
      <c r="S16" s="99"/>
      <c r="T16" s="99"/>
      <c r="U16" s="99"/>
      <c r="V16" s="102"/>
      <c r="X16" s="102"/>
      <c r="Y16" s="99"/>
      <c r="Z16" s="99"/>
      <c r="AA16" s="99"/>
      <c r="AB16" s="99"/>
      <c r="AD16" s="124"/>
      <c r="AE16" s="102"/>
      <c r="AG16" s="105"/>
      <c r="AH16" s="105"/>
      <c r="AI16" s="127"/>
      <c r="AJ16" s="101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28"/>
      <c r="AV16" s="124"/>
      <c r="AW16" s="124"/>
    </row>
    <row r="17" spans="1:49" s="5" customFormat="1" ht="12.75">
      <c r="A17" s="129"/>
      <c r="B17" s="8"/>
      <c r="C17" s="9"/>
      <c r="D17" s="9"/>
      <c r="E17" s="10"/>
      <c r="F17" s="8"/>
      <c r="G17" s="11"/>
      <c r="H17" s="12"/>
      <c r="L17" s="8"/>
      <c r="M17" s="8"/>
      <c r="S17" s="130"/>
      <c r="T17" s="130"/>
      <c r="U17" s="131"/>
      <c r="V17" s="132"/>
      <c r="X17" s="133"/>
      <c r="Y17" s="130"/>
      <c r="Z17" s="130"/>
      <c r="AA17" s="130"/>
      <c r="AB17" s="130"/>
      <c r="AD17" s="134"/>
      <c r="AE17" s="135"/>
      <c r="AF17" s="136"/>
      <c r="AI17" s="1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22"/>
      <c r="AV17" s="23"/>
      <c r="AW17" s="23"/>
    </row>
    <row r="18" spans="1:49" s="5" customFormat="1" ht="12.75">
      <c r="A18" s="8"/>
      <c r="B18" s="9"/>
      <c r="C18" s="23"/>
      <c r="D18" s="23"/>
      <c r="E18" s="137"/>
      <c r="F18" s="140">
        <f>IF(LEFT(A4,9)="Предварит","Время опубликования:","")</f>
      </c>
      <c r="G18" s="141">
        <f ca="1">IF(LEFT(A4,9)="Предварит",NOW(),"")</f>
      </c>
      <c r="H18" s="142"/>
      <c r="L18" s="8"/>
      <c r="M18" s="8"/>
      <c r="S18" s="130"/>
      <c r="T18" s="130"/>
      <c r="U18" s="131"/>
      <c r="V18" s="132"/>
      <c r="X18" s="133"/>
      <c r="Y18" s="130"/>
      <c r="Z18" s="130"/>
      <c r="AA18" s="130"/>
      <c r="AB18" s="130"/>
      <c r="AD18" s="134"/>
      <c r="AE18" s="135"/>
      <c r="AF18" s="136"/>
      <c r="AI18" s="1"/>
      <c r="AJ18" s="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138"/>
      <c r="AV18" s="139"/>
      <c r="AW18" s="139"/>
    </row>
    <row r="19" spans="1:49" s="5" customFormat="1" ht="12.75">
      <c r="A19" s="8"/>
      <c r="B19" s="9"/>
      <c r="C19" s="23"/>
      <c r="D19" s="23"/>
      <c r="E19" s="137"/>
      <c r="F19" s="8"/>
      <c r="G19" s="143"/>
      <c r="H19" s="23"/>
      <c r="L19" s="8"/>
      <c r="M19" s="8"/>
      <c r="S19" s="130"/>
      <c r="T19" s="130"/>
      <c r="U19" s="131"/>
      <c r="V19" s="132"/>
      <c r="X19" s="133"/>
      <c r="Y19" s="130"/>
      <c r="Z19" s="130"/>
      <c r="AA19" s="130"/>
      <c r="AB19" s="130"/>
      <c r="AD19" s="134"/>
      <c r="AE19" s="135"/>
      <c r="AF19" s="136"/>
      <c r="AI19" s="1"/>
      <c r="AJ19" s="2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138"/>
      <c r="AV19" s="139"/>
      <c r="AW19" s="139"/>
    </row>
  </sheetData>
  <sheetProtection/>
  <mergeCells count="16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</mergeCells>
  <dataValidations count="2">
    <dataValidation type="time" allowBlank="1" showInputMessage="1" showErrorMessage="1" promptTitle="Отсечка на дистанции" errorTitle="Отсечка" error="Введите отсечку в формате времени - чч:мм:сс" sqref="AK1:AT19">
      <formula1>0</formula1>
      <formula2>0.999988425925926</formula2>
    </dataValidation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9">
      <formula1>0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"/>
  <sheetViews>
    <sheetView zoomScalePageLayoutView="0" workbookViewId="0" topLeftCell="A4">
      <selection activeCell="A12" sqref="A12"/>
    </sheetView>
  </sheetViews>
  <sheetFormatPr defaultColWidth="9.140625" defaultRowHeight="15" outlineLevelRow="1"/>
  <cols>
    <col min="2" max="2" width="0" style="0" hidden="1" customWidth="1"/>
    <col min="3" max="3" width="21.57421875" style="0" customWidth="1"/>
    <col min="6" max="6" width="12.00390625" style="0" customWidth="1"/>
    <col min="7" max="7" width="16.8515625" style="0" customWidth="1"/>
    <col min="8" max="19" width="0" style="0" hidden="1" customWidth="1"/>
    <col min="20" max="20" width="12.7109375" style="0" hidden="1" customWidth="1"/>
    <col min="22" max="29" width="0" style="0" hidden="1" customWidth="1"/>
    <col min="36" max="58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108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52">
        <v>1</v>
      </c>
      <c r="B7" s="53" t="s">
        <v>86</v>
      </c>
      <c r="C7" s="147" t="s">
        <v>81</v>
      </c>
      <c r="D7" s="148">
        <v>1996</v>
      </c>
      <c r="E7" s="149" t="s">
        <v>54</v>
      </c>
      <c r="F7" s="150" t="s">
        <v>91</v>
      </c>
      <c r="G7" s="151" t="s">
        <v>92</v>
      </c>
      <c r="H7" s="54">
        <f>IF(ISNA(VLOOKUP($B7,DataLichVPR,13,0)),"",VLOOKUP($B7,DataLichVPR,13,0))</f>
      </c>
      <c r="I7" s="55"/>
      <c r="J7" s="56"/>
      <c r="K7" s="56"/>
      <c r="L7" s="56"/>
      <c r="M7" s="56"/>
      <c r="N7" s="56"/>
      <c r="O7" s="56"/>
      <c r="P7" s="57"/>
      <c r="Q7" s="57"/>
      <c r="R7" s="58"/>
      <c r="S7" s="59"/>
      <c r="T7" s="60"/>
      <c r="U7" s="61">
        <v>0.0008912037037037036</v>
      </c>
      <c r="V7" s="62">
        <f>COUNTIF(I7:R7,"сн")</f>
        <v>0</v>
      </c>
      <c r="W7" s="63">
        <f>SUM(AK7:AT7)</f>
        <v>0</v>
      </c>
      <c r="X7" s="64">
        <f>SUM(I7:R7)</f>
        <v>0</v>
      </c>
      <c r="Y7" s="65">
        <f>IF(X7&gt;0,X7*$BA$5,"")</f>
      </c>
      <c r="Z7" s="65">
        <f>IF(AND($BB$5&lt;&gt;0,V7&gt;0),V7*$BB$5,"")</f>
      </c>
      <c r="AA7" s="65">
        <f>IF(AJ7&gt;0,AJ7*$BC$5,"")</f>
      </c>
      <c r="AB7" s="66">
        <f>SUM(Y7:AA7)</f>
        <v>0</v>
      </c>
      <c r="AC7" s="67">
        <f>IF(T7="сн с дист","-",IF(ISNUMBER(U7),U7-W7+AB7,""))</f>
        <v>0.0008912037037037036</v>
      </c>
      <c r="AD7" s="68">
        <f>U7</f>
        <v>0.0008912037037037036</v>
      </c>
      <c r="AE7" s="69" t="s">
        <v>54</v>
      </c>
      <c r="AF7" s="70">
        <f>IF(AX7=0,AD7/SMALL($AD$7:$AD$10,1),"")</f>
        <v>1</v>
      </c>
      <c r="AG7" s="71"/>
      <c r="AH7" s="72">
        <f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>IF(ISNA(VLOOKUP($B7,DataLichVPR,17,0)),"",VLOOKUP($B7,DataLichVPR,17,0))</f>
      </c>
      <c r="AV7" s="76">
        <f>IF(ISNA(VLOOKUP($B7,DataLichVPR,11,0)),"",VLOOKUP($B7,DataLichVPR,11,0))</f>
      </c>
      <c r="AW7" s="76">
        <f>IF(ISNA(VLOOKUP($B7,DataLichVPR,12,0)),"",IF(VLOOKUP($B7,DataLichVPR,12,0)=0,"",VLOOKUP($B7,DataLichVPR,12,0)))</f>
      </c>
      <c r="AX7" s="77">
        <f>IF(ISNUMBER(AD7),0,IF(AD7="прев. КВ",2,IF(AD7="сн с этапов",1,IF(AD7="не фин.",4,3))))</f>
        <v>0</v>
      </c>
      <c r="AY7" s="78">
        <f>IF($BB$5&lt;&gt;0,0,V7)</f>
        <v>0</v>
      </c>
      <c r="AZ7" s="79">
        <f>IF(U7&lt;&gt;"",AC7,"")</f>
        <v>0.0008912037037037036</v>
      </c>
    </row>
    <row r="8" spans="1:52" s="5" customFormat="1" ht="13.5" customHeight="1">
      <c r="A8" s="80">
        <v>2</v>
      </c>
      <c r="B8" s="53" t="s">
        <v>85</v>
      </c>
      <c r="C8" s="147" t="s">
        <v>80</v>
      </c>
      <c r="D8" s="152">
        <v>1997</v>
      </c>
      <c r="E8" s="153" t="s">
        <v>54</v>
      </c>
      <c r="F8" s="150" t="s">
        <v>91</v>
      </c>
      <c r="G8" s="151" t="s">
        <v>92</v>
      </c>
      <c r="H8" s="81">
        <f>IF(ISNA(VLOOKUP($B8,DataLichVPR,13,0)),"",VLOOKUP($B8,DataLichVPR,13,0))</f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0.0011342592592592591</v>
      </c>
      <c r="V8" s="62">
        <f>COUNTIF(I8:R8,"сн")</f>
        <v>0</v>
      </c>
      <c r="W8" s="63">
        <f>SUM(AK8:AT8)</f>
        <v>0</v>
      </c>
      <c r="X8" s="64">
        <f>SUM(I8:R8)</f>
        <v>0</v>
      </c>
      <c r="Y8" s="65">
        <f>IF(X8&gt;0,X8*$BA$5,"")</f>
      </c>
      <c r="Z8" s="65">
        <f>IF(AND($BB$5&lt;&gt;0,V8&gt;0),V8*$BB$5,"")</f>
      </c>
      <c r="AA8" s="65">
        <f>IF(AJ8&gt;0,AJ8*$BC$5,"")</f>
      </c>
      <c r="AB8" s="66">
        <f>SUM(Y8:AA8)</f>
        <v>0</v>
      </c>
      <c r="AC8" s="67">
        <f>IF(T8="сн с дист","-",IF(ISNUMBER(U8),U8-W8+AB8,""))</f>
        <v>0.0011342592592592591</v>
      </c>
      <c r="AD8" s="68">
        <f>U8</f>
        <v>0.0011342592592592591</v>
      </c>
      <c r="AE8" s="86" t="s">
        <v>65</v>
      </c>
      <c r="AF8" s="70">
        <f>IF(AX8=0,AD8/SMALL($AD$7:$AD$10,1),"")</f>
        <v>1.2727272727272727</v>
      </c>
      <c r="AG8" s="87"/>
      <c r="AH8" s="88">
        <f>IF(ISNA(VLOOKUP($B8,DataLichVPR,23,0)),"",IF(VLOOKUP($B8,DataLichVPR,23,0)&gt;0,"(*)",""))</f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>IF(ISNA(VLOOKUP($B8,DataLichVPR,17,0)),"",VLOOKUP($B8,DataLichVPR,17,0))</f>
      </c>
      <c r="AV8" s="76">
        <f>IF(ISNA(VLOOKUP($B8,DataLichVPR,11,0)),"",VLOOKUP($B8,DataLichVPR,11,0))</f>
      </c>
      <c r="AW8" s="76">
        <f>IF(ISNA(VLOOKUP($B8,DataLichVPR,12,0)),"",IF(VLOOKUP($B8,DataLichVPR,12,0)=0,"",VLOOKUP($B8,DataLichVPR,12,0)))</f>
      </c>
      <c r="AX8" s="77">
        <f>IF(ISNUMBER(AD8),0,IF(AD8="прев. КВ",2,IF(AD8="сн с этапов",1,IF(AD8="не фин.",4,3))))</f>
        <v>0</v>
      </c>
      <c r="AY8" s="78">
        <f>IF($BB$5&lt;&gt;0,0,V8)</f>
        <v>0</v>
      </c>
      <c r="AZ8" s="79">
        <f>IF(U8&lt;&gt;"",AC8,"")</f>
        <v>0.0011342592592592591</v>
      </c>
    </row>
    <row r="9" spans="1:52" s="5" customFormat="1" ht="13.5" customHeight="1">
      <c r="A9" s="80">
        <v>3</v>
      </c>
      <c r="B9" s="53" t="s">
        <v>58</v>
      </c>
      <c r="C9" s="147" t="s">
        <v>59</v>
      </c>
      <c r="D9" s="152">
        <v>1997</v>
      </c>
      <c r="E9" s="153" t="s">
        <v>54</v>
      </c>
      <c r="F9" s="150" t="s">
        <v>56</v>
      </c>
      <c r="G9" s="151" t="s">
        <v>57</v>
      </c>
      <c r="H9" s="81">
        <f>IF(ISNA(VLOOKUP($B9,DataLichVPR,13,0)),"",VLOOKUP($B9,DataLichVPR,13,0))</f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0.0012731481481481483</v>
      </c>
      <c r="V9" s="62">
        <f>COUNTIF(I9:R9,"сн")</f>
        <v>0</v>
      </c>
      <c r="W9" s="63">
        <f>SUM(AK9:AT9)</f>
        <v>0</v>
      </c>
      <c r="X9" s="64">
        <f>SUM(I9:R9)</f>
        <v>0</v>
      </c>
      <c r="Y9" s="65">
        <f>IF(X9&gt;0,X9*$BA$5,"")</f>
      </c>
      <c r="Z9" s="65">
        <f>IF(AND($BB$5&lt;&gt;0,V9&gt;0),V9*$BB$5,"")</f>
      </c>
      <c r="AA9" s="65">
        <f>IF(AJ9&gt;0,AJ9*$BC$5,"")</f>
      </c>
      <c r="AB9" s="66">
        <f>SUM(Y9:AA9)</f>
        <v>0</v>
      </c>
      <c r="AC9" s="67">
        <f>IF(T9="сн с дист","-",IF(ISNUMBER(U9),U9-W9+AB9,""))</f>
        <v>0.0012731481481481483</v>
      </c>
      <c r="AD9" s="68">
        <f>U9</f>
        <v>0.0012731481481481483</v>
      </c>
      <c r="AE9" s="86" t="s">
        <v>90</v>
      </c>
      <c r="AF9" s="70">
        <f>IF(AX9=0,AD9/SMALL($AD$7:$AD$10,1),"")</f>
        <v>1.4285714285714288</v>
      </c>
      <c r="AG9" s="87"/>
      <c r="AH9" s="88">
        <f>IF(ISNA(VLOOKUP($B9,DataLichVPR,23,0)),"",IF(VLOOKUP($B9,DataLichVPR,23,0)&gt;0,"(*)",""))</f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>IF(ISNA(VLOOKUP($B9,DataLichVPR,17,0)),"",VLOOKUP($B9,DataLichVPR,17,0))</f>
      </c>
      <c r="AV9" s="76">
        <f>IF(ISNA(VLOOKUP($B9,DataLichVPR,11,0)),"",VLOOKUP($B9,DataLichVPR,11,0))</f>
      </c>
      <c r="AW9" s="76">
        <f>IF(ISNA(VLOOKUP($B9,DataLichVPR,12,0)),"",IF(VLOOKUP($B9,DataLichVPR,12,0)=0,"",VLOOKUP($B9,DataLichVPR,12,0)))</f>
      </c>
      <c r="AX9" s="77">
        <f>IF(ISNUMBER(AD9),0,IF(AD9="прев. КВ",2,IF(AD9="сн с этапов",1,IF(AD9="не фин.",4,3))))</f>
        <v>0</v>
      </c>
      <c r="AY9" s="78">
        <f>IF($BB$5&lt;&gt;0,0,V9)</f>
        <v>0</v>
      </c>
      <c r="AZ9" s="79">
        <f>IF(U9&lt;&gt;"",AC9,"")</f>
        <v>0.0012731481481481483</v>
      </c>
    </row>
    <row r="10" spans="1:52" s="5" customFormat="1" ht="13.5" customHeight="1">
      <c r="A10" s="80">
        <v>4</v>
      </c>
      <c r="B10" s="53" t="s">
        <v>87</v>
      </c>
      <c r="C10" s="147" t="s">
        <v>82</v>
      </c>
      <c r="D10" s="152">
        <v>1995</v>
      </c>
      <c r="E10" s="153" t="s">
        <v>65</v>
      </c>
      <c r="F10" s="150" t="s">
        <v>91</v>
      </c>
      <c r="G10" s="151" t="s">
        <v>92</v>
      </c>
      <c r="H10" s="81">
        <f>IF(ISNA(VLOOKUP($B10,DataLichVPR,13,0)),"",VLOOKUP($B10,DataLichVPR,13,0))</f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0.001412037037037037</v>
      </c>
      <c r="V10" s="62">
        <f>COUNTIF(I10:R10,"сн")</f>
        <v>0</v>
      </c>
      <c r="W10" s="63">
        <f>SUM(AK10:AT10)</f>
        <v>0</v>
      </c>
      <c r="X10" s="64">
        <f>SUM(I10:R10)</f>
        <v>0</v>
      </c>
      <c r="Y10" s="65">
        <f>IF(X10&gt;0,X10*$BA$5,"")</f>
      </c>
      <c r="Z10" s="65">
        <f>IF(AND($BB$5&lt;&gt;0,V10&gt;0),V10*$BB$5,"")</f>
      </c>
      <c r="AA10" s="65">
        <f>IF(AJ10&gt;0,AJ10*$BC$5,"")</f>
      </c>
      <c r="AB10" s="66">
        <f>SUM(Y10:AA10)</f>
        <v>0</v>
      </c>
      <c r="AC10" s="67">
        <f>IF(T10="сн с дист","-",IF(ISNUMBER(U10),U10-W10+AB10,""))</f>
        <v>0.001412037037037037</v>
      </c>
      <c r="AD10" s="68">
        <f>U10</f>
        <v>0.001412037037037037</v>
      </c>
      <c r="AE10" s="86">
        <v>4</v>
      </c>
      <c r="AF10" s="70">
        <f>IF(AX10=0,AD10/SMALL($AD$7:$AD$10,1),"")</f>
        <v>1.5844155844155845</v>
      </c>
      <c r="AG10" s="87"/>
      <c r="AH10" s="88">
        <f>IF(ISNA(VLOOKUP($B10,DataLichVPR,23,0)),"",IF(VLOOKUP($B10,DataLichVPR,23,0)&gt;0,"(*)",""))</f>
      </c>
      <c r="AI10" s="89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>IF(ISNA(VLOOKUP($B10,DataLichVPR,17,0)),"",VLOOKUP($B10,DataLichVPR,17,0))</f>
      </c>
      <c r="AV10" s="76">
        <f>IF(ISNA(VLOOKUP($B10,DataLichVPR,11,0)),"",VLOOKUP($B10,DataLichVPR,11,0))</f>
      </c>
      <c r="AW10" s="76">
        <f>IF(ISNA(VLOOKUP($B10,DataLichVPR,12,0)),"",IF(VLOOKUP($B10,DataLichVPR,12,0)=0,"",VLOOKUP($B10,DataLichVPR,12,0)))</f>
      </c>
      <c r="AX10" s="77">
        <f>IF(ISNUMBER(AD10),0,IF(AD10="прев. КВ",2,IF(AD10="сн с этапов",1,IF(AD10="не фин.",4,3))))</f>
        <v>0</v>
      </c>
      <c r="AY10" s="78">
        <f>IF($BB$5&lt;&gt;0,0,V10)</f>
        <v>0</v>
      </c>
      <c r="AZ10" s="79">
        <f>IF(U10&lt;&gt;"",AC10,"")</f>
        <v>0.001412037037037037</v>
      </c>
    </row>
    <row r="11" spans="1:52" s="108" customFormat="1" ht="15" outlineLevel="1">
      <c r="A11" s="91"/>
      <c r="B11" s="92"/>
      <c r="C11" s="91"/>
      <c r="D11" s="93"/>
      <c r="E11" s="94" t="s">
        <v>52</v>
      </c>
      <c r="F11" s="95">
        <v>0</v>
      </c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99"/>
      <c r="U11" s="100"/>
      <c r="V11" s="101"/>
      <c r="W11" s="98"/>
      <c r="X11" s="102"/>
      <c r="Y11" s="99"/>
      <c r="Z11" s="99"/>
      <c r="AA11" s="99"/>
      <c r="AB11" s="99"/>
      <c r="AC11" s="98"/>
      <c r="AD11" s="103"/>
      <c r="AE11" s="104"/>
      <c r="AF11" s="105"/>
      <c r="AG11" s="98"/>
      <c r="AH11" s="98"/>
      <c r="AI11" s="106"/>
      <c r="AJ11" s="101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07"/>
      <c r="AV11" s="98"/>
      <c r="AW11" s="98"/>
      <c r="AX11" s="98"/>
      <c r="AY11" s="98"/>
      <c r="AZ11" s="98"/>
    </row>
    <row r="12" spans="1:52" s="98" customFormat="1" ht="26.25" customHeight="1" outlineLevel="1">
      <c r="A12" s="109" t="str">
        <f>CONCATENATE("Главный судья_________________________ /",SignGlSud,"/")</f>
        <v>Главный судья_________________________ /М.В. Халтурин/</v>
      </c>
      <c r="B12" s="97"/>
      <c r="C12" s="97"/>
      <c r="D12" s="97"/>
      <c r="E12" s="110"/>
      <c r="F12" s="111"/>
      <c r="G12" s="96"/>
      <c r="H12" s="112"/>
      <c r="I12" s="113"/>
      <c r="J12" s="114"/>
      <c r="K12" s="113"/>
      <c r="L12" s="114"/>
      <c r="M12" s="114"/>
      <c r="N12" s="114"/>
      <c r="O12" s="114"/>
      <c r="P12" s="114"/>
      <c r="Q12" s="114"/>
      <c r="R12" s="114"/>
      <c r="S12" s="115"/>
      <c r="T12" s="115"/>
      <c r="U12" s="116"/>
      <c r="V12" s="117"/>
      <c r="W12" s="114"/>
      <c r="X12" s="118"/>
      <c r="Y12" s="115"/>
      <c r="Z12" s="115"/>
      <c r="AA12" s="115"/>
      <c r="AB12" s="115"/>
      <c r="AC12" s="114"/>
      <c r="AD12" s="119"/>
      <c r="AE12" s="102"/>
      <c r="AG12" s="105"/>
      <c r="AH12" s="105"/>
      <c r="AI12" s="120"/>
      <c r="AJ12" s="101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21"/>
      <c r="AV12" s="122"/>
      <c r="AW12" s="122"/>
      <c r="AX12" s="123"/>
      <c r="AY12" s="123"/>
      <c r="AZ12" s="123"/>
    </row>
    <row r="13" spans="1:49" s="98" customFormat="1" ht="27" customHeight="1" outlineLevel="1">
      <c r="A13" s="109" t="str">
        <f>CONCATENATE("Главный секретарь _____________________ /",SignGlSec,"/")</f>
        <v>Главный секретарь _____________________ /А.А. Ткач/</v>
      </c>
      <c r="C13" s="124"/>
      <c r="D13" s="124"/>
      <c r="E13" s="125"/>
      <c r="G13" s="126"/>
      <c r="H13" s="12"/>
      <c r="I13" s="13"/>
      <c r="K13" s="13"/>
      <c r="S13" s="99"/>
      <c r="T13" s="99"/>
      <c r="U13" s="99"/>
      <c r="V13" s="102"/>
      <c r="X13" s="102"/>
      <c r="Y13" s="99"/>
      <c r="Z13" s="99"/>
      <c r="AA13" s="99"/>
      <c r="AB13" s="99"/>
      <c r="AD13" s="124"/>
      <c r="AE13" s="102"/>
      <c r="AG13" s="105"/>
      <c r="AH13" s="105"/>
      <c r="AI13" s="127"/>
      <c r="AJ13" s="101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128"/>
      <c r="AV13" s="124"/>
      <c r="AW13" s="124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3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AK1:AT13">
      <formula1>0</formula1>
      <formula2>0.999988425925926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"/>
  <sheetViews>
    <sheetView zoomScalePageLayoutView="0" workbookViewId="0" topLeftCell="A4">
      <selection activeCell="BG7" sqref="BG7"/>
    </sheetView>
  </sheetViews>
  <sheetFormatPr defaultColWidth="9.140625" defaultRowHeight="15" outlineLevelRow="1"/>
  <cols>
    <col min="2" max="2" width="0" style="0" hidden="1" customWidth="1"/>
    <col min="3" max="3" width="24.00390625" style="0" customWidth="1"/>
    <col min="6" max="6" width="15.00390625" style="0" customWidth="1"/>
    <col min="7" max="7" width="18.8515625" style="0" customWidth="1"/>
    <col min="8" max="20" width="0" style="0" hidden="1" customWidth="1"/>
    <col min="22" max="29" width="0" style="0" hidden="1" customWidth="1"/>
    <col min="36" max="58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106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80">
        <v>1</v>
      </c>
      <c r="B7" s="53" t="s">
        <v>89</v>
      </c>
      <c r="C7" s="147" t="s">
        <v>93</v>
      </c>
      <c r="D7" s="152">
        <v>1998</v>
      </c>
      <c r="E7" s="153" t="s">
        <v>54</v>
      </c>
      <c r="F7" s="150" t="s">
        <v>99</v>
      </c>
      <c r="G7" s="151" t="s">
        <v>92</v>
      </c>
      <c r="H7" s="81">
        <f aca="true" t="shared" si="0" ref="H7:H13"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0.0006134259259259259</v>
      </c>
      <c r="V7" s="62">
        <f aca="true" t="shared" si="1" ref="V7:V13">COUNTIF(I7:R7,"сн")</f>
        <v>0</v>
      </c>
      <c r="W7" s="63">
        <f aca="true" t="shared" si="2" ref="W7:W13">SUM(AK7:AT7)</f>
        <v>0</v>
      </c>
      <c r="X7" s="64">
        <f aca="true" t="shared" si="3" ref="X7:X13">SUM(I7:R7)</f>
        <v>0</v>
      </c>
      <c r="Y7" s="65">
        <f aca="true" t="shared" si="4" ref="Y7:Y13">IF(X7&gt;0,X7*$BA$5,"")</f>
      </c>
      <c r="Z7" s="65">
        <f aca="true" t="shared" si="5" ref="Z7:Z13">IF(AND($BB$5&lt;&gt;0,V7&gt;0),V7*$BB$5,"")</f>
      </c>
      <c r="AA7" s="65">
        <f aca="true" t="shared" si="6" ref="AA7:AA13">IF(AJ7&gt;0,AJ7*$BC$5,"")</f>
      </c>
      <c r="AB7" s="66">
        <f aca="true" t="shared" si="7" ref="AB7:AB13">SUM(Y7:AA7)</f>
        <v>0</v>
      </c>
      <c r="AC7" s="67">
        <f aca="true" t="shared" si="8" ref="AC7:AC13">IF(T7="сн с дист","-",IF(ISNUMBER(U7),U7-W7+AB7,""))</f>
        <v>0.0006134259259259259</v>
      </c>
      <c r="AD7" s="68">
        <f aca="true" t="shared" si="9" ref="AD7:AD13">U7</f>
        <v>0.0006134259259259259</v>
      </c>
      <c r="AE7" s="86" t="s">
        <v>54</v>
      </c>
      <c r="AF7" s="70">
        <f aca="true" t="shared" si="10" ref="AF7:AF13">IF(AX7=0,AD7/SMALL($AD$7:$AD$13,1),"")</f>
        <v>1</v>
      </c>
      <c r="AG7" s="87"/>
      <c r="AH7" s="88">
        <f aca="true" t="shared" si="11" ref="AH7:AH13"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 aca="true" t="shared" si="12" ref="AU7:AU13">IF(ISNA(VLOOKUP($B7,DataLichVPR,17,0)),"",VLOOKUP($B7,DataLichVPR,17,0))</f>
      </c>
      <c r="AV7" s="76">
        <f aca="true" t="shared" si="13" ref="AV7:AV13">IF(ISNA(VLOOKUP($B7,DataLichVPR,11,0)),"",VLOOKUP($B7,DataLichVPR,11,0))</f>
      </c>
      <c r="AW7" s="76">
        <f aca="true" t="shared" si="14" ref="AW7:AW13">IF(ISNA(VLOOKUP($B7,DataLichVPR,12,0)),"",IF(VLOOKUP($B7,DataLichVPR,12,0)=0,"",VLOOKUP($B7,DataLichVPR,12,0)))</f>
      </c>
      <c r="AX7" s="77">
        <f aca="true" t="shared" si="15" ref="AX7:AX13">IF(ISNUMBER(AD7),0,IF(AD7="прев. КВ",2,IF(AD7="сн с этапов",1,IF(AD7="не фин.",4,3))))</f>
        <v>0</v>
      </c>
      <c r="AY7" s="78">
        <f aca="true" t="shared" si="16" ref="AY7:AY13">IF($BB$5&lt;&gt;0,0,V7)</f>
        <v>0</v>
      </c>
      <c r="AZ7" s="79">
        <f aca="true" t="shared" si="17" ref="AZ7:AZ13">IF(U7&lt;&gt;"",AC7,"")</f>
        <v>0.0006134259259259259</v>
      </c>
    </row>
    <row r="8" spans="1:52" s="5" customFormat="1" ht="13.5" customHeight="1">
      <c r="A8" s="80">
        <v>2</v>
      </c>
      <c r="B8" s="53" t="s">
        <v>51</v>
      </c>
      <c r="C8" s="147" t="s">
        <v>53</v>
      </c>
      <c r="D8" s="152">
        <v>1999</v>
      </c>
      <c r="E8" s="153" t="s">
        <v>54</v>
      </c>
      <c r="F8" s="150" t="s">
        <v>56</v>
      </c>
      <c r="G8" s="151" t="s">
        <v>57</v>
      </c>
      <c r="H8" s="81">
        <f t="shared" si="0"/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0.0008101851851851852</v>
      </c>
      <c r="V8" s="62">
        <f t="shared" si="1"/>
        <v>0</v>
      </c>
      <c r="W8" s="63">
        <f t="shared" si="2"/>
        <v>0</v>
      </c>
      <c r="X8" s="64">
        <f t="shared" si="3"/>
        <v>0</v>
      </c>
      <c r="Y8" s="65">
        <f t="shared" si="4"/>
      </c>
      <c r="Z8" s="65">
        <f t="shared" si="5"/>
      </c>
      <c r="AA8" s="65">
        <f t="shared" si="6"/>
      </c>
      <c r="AB8" s="66">
        <f t="shared" si="7"/>
        <v>0</v>
      </c>
      <c r="AC8" s="67">
        <f t="shared" si="8"/>
        <v>0.0008101851851851852</v>
      </c>
      <c r="AD8" s="68">
        <f t="shared" si="9"/>
        <v>0.0008101851851851852</v>
      </c>
      <c r="AE8" s="86" t="s">
        <v>65</v>
      </c>
      <c r="AF8" s="70">
        <f t="shared" si="10"/>
        <v>1.320754716981132</v>
      </c>
      <c r="AG8" s="87"/>
      <c r="AH8" s="88">
        <f t="shared" si="11"/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 t="shared" si="12"/>
      </c>
      <c r="AV8" s="76">
        <f t="shared" si="13"/>
      </c>
      <c r="AW8" s="76">
        <f t="shared" si="14"/>
      </c>
      <c r="AX8" s="77">
        <f t="shared" si="15"/>
        <v>0</v>
      </c>
      <c r="AY8" s="78">
        <f t="shared" si="16"/>
        <v>0</v>
      </c>
      <c r="AZ8" s="79">
        <f t="shared" si="17"/>
        <v>0.0008101851851851852</v>
      </c>
    </row>
    <row r="9" spans="1:52" s="5" customFormat="1" ht="13.5" customHeight="1">
      <c r="A9" s="80">
        <v>3</v>
      </c>
      <c r="B9" s="53" t="s">
        <v>101</v>
      </c>
      <c r="C9" s="147" t="s">
        <v>95</v>
      </c>
      <c r="D9" s="152">
        <v>1999</v>
      </c>
      <c r="E9" s="153" t="s">
        <v>54</v>
      </c>
      <c r="F9" s="150" t="s">
        <v>99</v>
      </c>
      <c r="G9" s="151" t="s">
        <v>92</v>
      </c>
      <c r="H9" s="81">
        <f t="shared" si="0"/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0.0008217592592592592</v>
      </c>
      <c r="V9" s="62">
        <f t="shared" si="1"/>
        <v>0</v>
      </c>
      <c r="W9" s="63">
        <f t="shared" si="2"/>
        <v>0</v>
      </c>
      <c r="X9" s="64">
        <f t="shared" si="3"/>
        <v>0</v>
      </c>
      <c r="Y9" s="65">
        <f t="shared" si="4"/>
      </c>
      <c r="Z9" s="65">
        <f t="shared" si="5"/>
      </c>
      <c r="AA9" s="65">
        <f t="shared" si="6"/>
      </c>
      <c r="AB9" s="66">
        <f t="shared" si="7"/>
        <v>0</v>
      </c>
      <c r="AC9" s="67">
        <f t="shared" si="8"/>
        <v>0.0008217592592592592</v>
      </c>
      <c r="AD9" s="68">
        <f t="shared" si="9"/>
        <v>0.0008217592592592592</v>
      </c>
      <c r="AE9" s="86" t="s">
        <v>90</v>
      </c>
      <c r="AF9" s="70">
        <f t="shared" si="10"/>
        <v>1.3396226415094339</v>
      </c>
      <c r="AG9" s="87"/>
      <c r="AH9" s="88">
        <f t="shared" si="11"/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 t="shared" si="12"/>
      </c>
      <c r="AV9" s="76">
        <f t="shared" si="13"/>
      </c>
      <c r="AW9" s="76">
        <f t="shared" si="14"/>
      </c>
      <c r="AX9" s="77">
        <f t="shared" si="15"/>
        <v>0</v>
      </c>
      <c r="AY9" s="78">
        <f t="shared" si="16"/>
        <v>0</v>
      </c>
      <c r="AZ9" s="79">
        <f t="shared" si="17"/>
        <v>0.0008217592592592592</v>
      </c>
    </row>
    <row r="10" spans="1:52" s="5" customFormat="1" ht="13.5" customHeight="1">
      <c r="A10" s="80">
        <v>4</v>
      </c>
      <c r="B10" s="53" t="s">
        <v>100</v>
      </c>
      <c r="C10" s="147" t="s">
        <v>94</v>
      </c>
      <c r="D10" s="152">
        <v>1999</v>
      </c>
      <c r="E10" s="153" t="s">
        <v>54</v>
      </c>
      <c r="F10" s="150" t="s">
        <v>99</v>
      </c>
      <c r="G10" s="151" t="s">
        <v>92</v>
      </c>
      <c r="H10" s="81">
        <f t="shared" si="0"/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0.0008680555555555555</v>
      </c>
      <c r="V10" s="62">
        <f t="shared" si="1"/>
        <v>0</v>
      </c>
      <c r="W10" s="63">
        <f t="shared" si="2"/>
        <v>0</v>
      </c>
      <c r="X10" s="64">
        <f t="shared" si="3"/>
        <v>0</v>
      </c>
      <c r="Y10" s="65">
        <f t="shared" si="4"/>
      </c>
      <c r="Z10" s="65">
        <f t="shared" si="5"/>
      </c>
      <c r="AA10" s="65">
        <f t="shared" si="6"/>
      </c>
      <c r="AB10" s="66">
        <f t="shared" si="7"/>
        <v>0</v>
      </c>
      <c r="AC10" s="67">
        <f t="shared" si="8"/>
        <v>0.0008680555555555555</v>
      </c>
      <c r="AD10" s="68">
        <f t="shared" si="9"/>
        <v>0.0008680555555555555</v>
      </c>
      <c r="AE10" s="86">
        <v>4</v>
      </c>
      <c r="AF10" s="70">
        <f t="shared" si="10"/>
        <v>1.4150943396226414</v>
      </c>
      <c r="AG10" s="87"/>
      <c r="AH10" s="88">
        <f t="shared" si="11"/>
      </c>
      <c r="AI10" s="1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 t="shared" si="12"/>
      </c>
      <c r="AV10" s="76">
        <f t="shared" si="13"/>
      </c>
      <c r="AW10" s="76">
        <f t="shared" si="14"/>
      </c>
      <c r="AX10" s="77">
        <f t="shared" si="15"/>
        <v>0</v>
      </c>
      <c r="AY10" s="78">
        <f t="shared" si="16"/>
        <v>0</v>
      </c>
      <c r="AZ10" s="79">
        <f t="shared" si="17"/>
        <v>0.0008680555555555555</v>
      </c>
    </row>
    <row r="11" spans="1:52" s="5" customFormat="1" ht="13.5" customHeight="1">
      <c r="A11" s="80">
        <v>5</v>
      </c>
      <c r="B11" s="53" t="s">
        <v>60</v>
      </c>
      <c r="C11" s="147" t="s">
        <v>61</v>
      </c>
      <c r="D11" s="152">
        <v>1998</v>
      </c>
      <c r="E11" s="153" t="s">
        <v>62</v>
      </c>
      <c r="F11" s="150" t="s">
        <v>56</v>
      </c>
      <c r="G11" s="151" t="s">
        <v>57</v>
      </c>
      <c r="H11" s="81">
        <f t="shared" si="0"/>
      </c>
      <c r="I11" s="82"/>
      <c r="J11" s="83"/>
      <c r="K11" s="83"/>
      <c r="L11" s="83"/>
      <c r="M11" s="83"/>
      <c r="N11" s="83"/>
      <c r="O11" s="83"/>
      <c r="P11" s="84"/>
      <c r="Q11" s="84"/>
      <c r="R11" s="85"/>
      <c r="S11" s="59"/>
      <c r="T11" s="60"/>
      <c r="U11" s="61">
        <v>0.0009490740740740741</v>
      </c>
      <c r="V11" s="62">
        <f t="shared" si="1"/>
        <v>0</v>
      </c>
      <c r="W11" s="63">
        <f t="shared" si="2"/>
        <v>0</v>
      </c>
      <c r="X11" s="64">
        <f t="shared" si="3"/>
        <v>0</v>
      </c>
      <c r="Y11" s="65">
        <f t="shared" si="4"/>
      </c>
      <c r="Z11" s="65">
        <f t="shared" si="5"/>
      </c>
      <c r="AA11" s="65">
        <f t="shared" si="6"/>
      </c>
      <c r="AB11" s="66">
        <f t="shared" si="7"/>
        <v>0</v>
      </c>
      <c r="AC11" s="67">
        <f t="shared" si="8"/>
        <v>0.0009490740740740741</v>
      </c>
      <c r="AD11" s="68">
        <f t="shared" si="9"/>
        <v>0.0009490740740740741</v>
      </c>
      <c r="AE11" s="86">
        <v>5</v>
      </c>
      <c r="AF11" s="70">
        <f t="shared" si="10"/>
        <v>1.5471698113207548</v>
      </c>
      <c r="AG11" s="87"/>
      <c r="AH11" s="88">
        <f t="shared" si="11"/>
      </c>
      <c r="AI11" s="89"/>
      <c r="AJ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>
        <f t="shared" si="12"/>
      </c>
      <c r="AV11" s="76">
        <f t="shared" si="13"/>
      </c>
      <c r="AW11" s="76">
        <f t="shared" si="14"/>
      </c>
      <c r="AX11" s="77">
        <f t="shared" si="15"/>
        <v>0</v>
      </c>
      <c r="AY11" s="78">
        <f t="shared" si="16"/>
        <v>0</v>
      </c>
      <c r="AZ11" s="79">
        <f t="shared" si="17"/>
        <v>0.0009490740740740741</v>
      </c>
    </row>
    <row r="12" spans="1:52" s="5" customFormat="1" ht="13.5" customHeight="1">
      <c r="A12" s="80">
        <v>6</v>
      </c>
      <c r="B12" s="53" t="s">
        <v>102</v>
      </c>
      <c r="C12" s="147" t="s">
        <v>96</v>
      </c>
      <c r="D12" s="152">
        <v>1999</v>
      </c>
      <c r="E12" s="153" t="s">
        <v>65</v>
      </c>
      <c r="F12" s="150" t="s">
        <v>99</v>
      </c>
      <c r="G12" s="151" t="s">
        <v>92</v>
      </c>
      <c r="H12" s="81">
        <f t="shared" si="0"/>
      </c>
      <c r="I12" s="82"/>
      <c r="J12" s="83"/>
      <c r="K12" s="83"/>
      <c r="L12" s="83"/>
      <c r="M12" s="83"/>
      <c r="N12" s="83"/>
      <c r="O12" s="83"/>
      <c r="P12" s="84"/>
      <c r="Q12" s="84"/>
      <c r="R12" s="85"/>
      <c r="S12" s="59"/>
      <c r="T12" s="60"/>
      <c r="U12" s="61">
        <v>0.0010069444444444444</v>
      </c>
      <c r="V12" s="62">
        <f t="shared" si="1"/>
        <v>0</v>
      </c>
      <c r="W12" s="63">
        <f t="shared" si="2"/>
        <v>0</v>
      </c>
      <c r="X12" s="64">
        <f t="shared" si="3"/>
        <v>0</v>
      </c>
      <c r="Y12" s="65">
        <f t="shared" si="4"/>
      </c>
      <c r="Z12" s="65">
        <f t="shared" si="5"/>
      </c>
      <c r="AA12" s="65">
        <f t="shared" si="6"/>
      </c>
      <c r="AB12" s="66">
        <f t="shared" si="7"/>
        <v>0</v>
      </c>
      <c r="AC12" s="67">
        <f t="shared" si="8"/>
        <v>0.0010069444444444444</v>
      </c>
      <c r="AD12" s="68">
        <f t="shared" si="9"/>
        <v>0.0010069444444444444</v>
      </c>
      <c r="AE12" s="86">
        <v>6</v>
      </c>
      <c r="AF12" s="70">
        <f t="shared" si="10"/>
        <v>1.6415094339622642</v>
      </c>
      <c r="AG12" s="87"/>
      <c r="AH12" s="88">
        <f t="shared" si="11"/>
      </c>
      <c r="AI12" s="89"/>
      <c r="AJ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5">
        <f t="shared" si="12"/>
      </c>
      <c r="AV12" s="76">
        <f t="shared" si="13"/>
      </c>
      <c r="AW12" s="76">
        <f t="shared" si="14"/>
      </c>
      <c r="AX12" s="77">
        <f t="shared" si="15"/>
        <v>0</v>
      </c>
      <c r="AY12" s="78">
        <f t="shared" si="16"/>
        <v>0</v>
      </c>
      <c r="AZ12" s="79">
        <f t="shared" si="17"/>
        <v>0.0010069444444444444</v>
      </c>
    </row>
    <row r="13" spans="1:52" s="5" customFormat="1" ht="13.5" customHeight="1">
      <c r="A13" s="80">
        <v>7</v>
      </c>
      <c r="B13" s="53" t="s">
        <v>103</v>
      </c>
      <c r="C13" s="147" t="s">
        <v>97</v>
      </c>
      <c r="D13" s="152">
        <v>1998</v>
      </c>
      <c r="E13" s="153" t="s">
        <v>98</v>
      </c>
      <c r="F13" s="150" t="s">
        <v>99</v>
      </c>
      <c r="G13" s="151" t="s">
        <v>92</v>
      </c>
      <c r="H13" s="81">
        <f t="shared" si="0"/>
      </c>
      <c r="I13" s="82"/>
      <c r="J13" s="83"/>
      <c r="K13" s="83"/>
      <c r="L13" s="83"/>
      <c r="M13" s="83"/>
      <c r="N13" s="83"/>
      <c r="O13" s="83"/>
      <c r="P13" s="84"/>
      <c r="Q13" s="84"/>
      <c r="R13" s="85"/>
      <c r="S13" s="59"/>
      <c r="T13" s="60"/>
      <c r="U13" s="61">
        <v>0.0010185185185185186</v>
      </c>
      <c r="V13" s="62">
        <f t="shared" si="1"/>
        <v>0</v>
      </c>
      <c r="W13" s="63">
        <f t="shared" si="2"/>
        <v>0</v>
      </c>
      <c r="X13" s="64">
        <f t="shared" si="3"/>
        <v>0</v>
      </c>
      <c r="Y13" s="65">
        <f t="shared" si="4"/>
      </c>
      <c r="Z13" s="65">
        <f t="shared" si="5"/>
      </c>
      <c r="AA13" s="65">
        <f t="shared" si="6"/>
      </c>
      <c r="AB13" s="66">
        <f t="shared" si="7"/>
        <v>0</v>
      </c>
      <c r="AC13" s="67">
        <f t="shared" si="8"/>
        <v>0.0010185185185185186</v>
      </c>
      <c r="AD13" s="68">
        <f t="shared" si="9"/>
        <v>0.0010185185185185186</v>
      </c>
      <c r="AE13" s="86">
        <v>7</v>
      </c>
      <c r="AF13" s="70">
        <f t="shared" si="10"/>
        <v>1.6603773584905663</v>
      </c>
      <c r="AG13" s="87"/>
      <c r="AH13" s="88">
        <f t="shared" si="11"/>
      </c>
      <c r="AI13" s="89"/>
      <c r="AJ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>
        <f t="shared" si="12"/>
      </c>
      <c r="AV13" s="76">
        <f t="shared" si="13"/>
      </c>
      <c r="AW13" s="76">
        <f t="shared" si="14"/>
      </c>
      <c r="AX13" s="77">
        <f t="shared" si="15"/>
        <v>0</v>
      </c>
      <c r="AY13" s="78">
        <f t="shared" si="16"/>
        <v>0</v>
      </c>
      <c r="AZ13" s="79">
        <f t="shared" si="17"/>
        <v>0.0010185185185185186</v>
      </c>
    </row>
    <row r="14" spans="1:52" s="108" customFormat="1" ht="15" outlineLevel="1">
      <c r="A14" s="91"/>
      <c r="B14" s="92"/>
      <c r="C14" s="91"/>
      <c r="D14" s="93"/>
      <c r="E14" s="94" t="s">
        <v>52</v>
      </c>
      <c r="F14" s="95">
        <v>0</v>
      </c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100"/>
      <c r="V14" s="101"/>
      <c r="W14" s="98"/>
      <c r="X14" s="102"/>
      <c r="Y14" s="99"/>
      <c r="Z14" s="99"/>
      <c r="AA14" s="99"/>
      <c r="AB14" s="99"/>
      <c r="AC14" s="98"/>
      <c r="AD14" s="103"/>
      <c r="AE14" s="104"/>
      <c r="AF14" s="105"/>
      <c r="AG14" s="98"/>
      <c r="AH14" s="98"/>
      <c r="AI14" s="106"/>
      <c r="AJ14" s="101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07"/>
      <c r="AV14" s="98"/>
      <c r="AW14" s="98"/>
      <c r="AX14" s="98"/>
      <c r="AY14" s="98"/>
      <c r="AZ14" s="98"/>
    </row>
    <row r="15" spans="1:52" s="98" customFormat="1" ht="26.25" customHeight="1" outlineLevel="1">
      <c r="A15" s="109" t="str">
        <f>CONCATENATE("Главный судья_________________________ /",SignGlSud,"/")</f>
        <v>Главный судья_________________________ /М.В. Халтурин/</v>
      </c>
      <c r="B15" s="97"/>
      <c r="C15" s="97"/>
      <c r="D15" s="97"/>
      <c r="E15" s="110"/>
      <c r="F15" s="111"/>
      <c r="G15" s="96"/>
      <c r="H15" s="112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5"/>
      <c r="T15" s="115"/>
      <c r="U15" s="116"/>
      <c r="V15" s="117"/>
      <c r="W15" s="114"/>
      <c r="X15" s="118"/>
      <c r="Y15" s="115"/>
      <c r="Z15" s="115"/>
      <c r="AA15" s="115"/>
      <c r="AB15" s="115"/>
      <c r="AC15" s="114"/>
      <c r="AD15" s="119"/>
      <c r="AE15" s="102"/>
      <c r="AG15" s="105"/>
      <c r="AH15" s="105"/>
      <c r="AI15" s="120"/>
      <c r="AJ15" s="101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21"/>
      <c r="AV15" s="122"/>
      <c r="AW15" s="122"/>
      <c r="AX15" s="123"/>
      <c r="AY15" s="123"/>
      <c r="AZ15" s="123"/>
    </row>
    <row r="16" spans="1:49" s="98" customFormat="1" ht="27" customHeight="1" outlineLevel="1">
      <c r="A16" s="109" t="str">
        <f>CONCATENATE("Главный секретарь _____________________ /",SignGlSec,"/")</f>
        <v>Главный секретарь _____________________ /А.А. Ткач/</v>
      </c>
      <c r="C16" s="124"/>
      <c r="D16" s="124"/>
      <c r="E16" s="125"/>
      <c r="G16" s="126"/>
      <c r="H16" s="12"/>
      <c r="I16" s="13"/>
      <c r="K16" s="13"/>
      <c r="S16" s="99"/>
      <c r="T16" s="99"/>
      <c r="U16" s="99"/>
      <c r="V16" s="102"/>
      <c r="X16" s="102"/>
      <c r="Y16" s="99"/>
      <c r="Z16" s="99"/>
      <c r="AA16" s="99"/>
      <c r="AB16" s="99"/>
      <c r="AD16" s="124"/>
      <c r="AE16" s="102"/>
      <c r="AG16" s="105"/>
      <c r="AH16" s="105"/>
      <c r="AI16" s="127"/>
      <c r="AJ16" s="101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28"/>
      <c r="AV16" s="124"/>
      <c r="AW16" s="124"/>
    </row>
    <row r="17" spans="1:49" s="5" customFormat="1" ht="12.75">
      <c r="A17" s="129"/>
      <c r="B17" s="8"/>
      <c r="C17" s="9"/>
      <c r="D17" s="9"/>
      <c r="E17" s="10"/>
      <c r="F17" s="8"/>
      <c r="G17" s="11"/>
      <c r="H17" s="12"/>
      <c r="L17" s="8"/>
      <c r="M17" s="8"/>
      <c r="S17" s="130"/>
      <c r="T17" s="130"/>
      <c r="U17" s="131"/>
      <c r="V17" s="132"/>
      <c r="X17" s="133"/>
      <c r="Y17" s="130"/>
      <c r="Z17" s="130"/>
      <c r="AA17" s="130"/>
      <c r="AB17" s="130"/>
      <c r="AD17" s="134"/>
      <c r="AE17" s="135"/>
      <c r="AF17" s="136"/>
      <c r="AI17" s="1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22"/>
      <c r="AV17" s="23"/>
      <c r="AW17" s="23"/>
    </row>
    <row r="18" spans="1:49" s="5" customFormat="1" ht="12.75">
      <c r="A18" s="8"/>
      <c r="B18" s="9"/>
      <c r="C18" s="23"/>
      <c r="D18" s="23"/>
      <c r="E18" s="137"/>
      <c r="F18" s="140">
        <f>IF(LEFT(A4,9)="Предварит","Время опубликования:","")</f>
      </c>
      <c r="G18" s="141">
        <f ca="1">IF(LEFT(A4,9)="Предварит",NOW(),"")</f>
      </c>
      <c r="H18" s="142"/>
      <c r="L18" s="8"/>
      <c r="M18" s="8"/>
      <c r="S18" s="130"/>
      <c r="T18" s="130"/>
      <c r="U18" s="131"/>
      <c r="V18" s="132"/>
      <c r="X18" s="133"/>
      <c r="Y18" s="130"/>
      <c r="Z18" s="130"/>
      <c r="AA18" s="130"/>
      <c r="AB18" s="130"/>
      <c r="AD18" s="134"/>
      <c r="AE18" s="135"/>
      <c r="AF18" s="136"/>
      <c r="AI18" s="1"/>
      <c r="AJ18" s="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138"/>
      <c r="AV18" s="139"/>
      <c r="AW18" s="139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8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AK1:AT18">
      <formula1>0</formula1>
      <formula2>0.999988425925926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"/>
  <sheetViews>
    <sheetView zoomScalePageLayoutView="0" workbookViewId="0" topLeftCell="A4">
      <selection activeCell="BI4" sqref="BI4"/>
    </sheetView>
  </sheetViews>
  <sheetFormatPr defaultColWidth="9.140625" defaultRowHeight="15" outlineLevelRow="1"/>
  <cols>
    <col min="2" max="2" width="0" style="0" hidden="1" customWidth="1"/>
    <col min="3" max="3" width="23.140625" style="0" customWidth="1"/>
    <col min="6" max="6" width="15.28125" style="0" customWidth="1"/>
    <col min="7" max="7" width="19.140625" style="0" customWidth="1"/>
    <col min="8" max="20" width="0" style="0" hidden="1" customWidth="1"/>
    <col min="22" max="29" width="0" style="0" hidden="1" customWidth="1"/>
    <col min="36" max="59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105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80">
        <v>1</v>
      </c>
      <c r="B7" s="53" t="s">
        <v>55</v>
      </c>
      <c r="C7" s="147" t="s">
        <v>104</v>
      </c>
      <c r="D7" s="152">
        <v>1997</v>
      </c>
      <c r="E7" s="153" t="s">
        <v>54</v>
      </c>
      <c r="F7" s="150" t="s">
        <v>56</v>
      </c>
      <c r="G7" s="151" t="s">
        <v>57</v>
      </c>
      <c r="H7" s="81">
        <f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0.000798611111111111</v>
      </c>
      <c r="V7" s="62"/>
      <c r="W7" s="63"/>
      <c r="X7" s="64"/>
      <c r="Y7" s="65"/>
      <c r="Z7" s="65"/>
      <c r="AA7" s="65"/>
      <c r="AB7" s="66"/>
      <c r="AC7" s="67"/>
      <c r="AD7" s="68">
        <f>U7</f>
        <v>0.000798611111111111</v>
      </c>
      <c r="AE7" s="86" t="s">
        <v>54</v>
      </c>
      <c r="AF7" s="70">
        <v>1</v>
      </c>
      <c r="AG7" s="87"/>
      <c r="AH7" s="88">
        <f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>IF(ISNA(VLOOKUP($B7,DataLichVPR,17,0)),"",VLOOKUP($B7,DataLichVPR,17,0))</f>
      </c>
      <c r="AV7" s="76">
        <f>IF(ISNA(VLOOKUP($B7,DataLichVPR,11,0)),"",VLOOKUP($B7,DataLichVPR,11,0))</f>
      </c>
      <c r="AW7" s="76">
        <f>IF(ISNA(VLOOKUP($B7,DataLichVPR,12,0)),"",IF(VLOOKUP($B7,DataLichVPR,12,0)=0,"",VLOOKUP($B7,DataLichVPR,12,0)))</f>
      </c>
      <c r="AX7" s="77">
        <f>IF(ISNUMBER(AD7),0,IF(AD7="прев. КВ",2,IF(AD7="сн с этапов",1,IF(AD7="не фин.",4,3))))</f>
        <v>0</v>
      </c>
      <c r="AY7" s="78">
        <f>IF($BB$5&lt;&gt;0,0,V7)</f>
        <v>0</v>
      </c>
      <c r="AZ7" s="79">
        <f>IF(U7&lt;&gt;"",AC7,"")</f>
        <v>0</v>
      </c>
    </row>
    <row r="8" spans="1:57" s="8" customFormat="1" ht="13.5" customHeight="1">
      <c r="A8" s="80">
        <v>2</v>
      </c>
      <c r="B8" s="53" t="s">
        <v>84</v>
      </c>
      <c r="C8" s="147" t="s">
        <v>79</v>
      </c>
      <c r="D8" s="152">
        <v>1997</v>
      </c>
      <c r="E8" s="153" t="s">
        <v>65</v>
      </c>
      <c r="F8" s="150" t="s">
        <v>91</v>
      </c>
      <c r="G8" s="151" t="s">
        <v>92</v>
      </c>
      <c r="H8" s="81">
        <f>IF(ISNA(VLOOKUP($B8,DataLichVPR,13,0)),"",VLOOKUP($B8,DataLichVPR,13,0))</f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0.0009837962962962964</v>
      </c>
      <c r="V8" s="62">
        <f>COUNTIF(I8:R8,"сн")</f>
        <v>0</v>
      </c>
      <c r="W8" s="63">
        <f>SUM(AK8:AT8)</f>
        <v>0</v>
      </c>
      <c r="X8" s="64">
        <f>SUM(I8:R8)</f>
        <v>0</v>
      </c>
      <c r="Y8" s="65">
        <f>IF(X8&gt;0,X8*$BA$5,"")</f>
      </c>
      <c r="Z8" s="65">
        <f>IF(AND($BB$5&lt;&gt;0,V8&gt;0),V8*$BB$5,"")</f>
      </c>
      <c r="AA8" s="65">
        <f>IF(AJ8&gt;0,AJ8*$BC$5,"")</f>
      </c>
      <c r="AB8" s="66">
        <f>SUM(Y8:AA8)</f>
        <v>0</v>
      </c>
      <c r="AC8" s="67">
        <f>IF(T8="сн с дист","-",IF(ISNUMBER(U8),U8-W8+AB8,""))</f>
        <v>0.0009837962962962964</v>
      </c>
      <c r="AD8" s="68">
        <f>U8</f>
        <v>0.0009837962962962964</v>
      </c>
      <c r="AE8" s="86" t="s">
        <v>65</v>
      </c>
      <c r="AF8" s="70">
        <f>IF(AX8=0,AD8/SMALL($AD$7:$AD$8,1),"")</f>
        <v>1.2318840579710146</v>
      </c>
      <c r="AG8" s="87"/>
      <c r="AH8" s="88">
        <f>IF(ISNA(VLOOKUP($B8,DataLichVPR,23,0)),"",IF(VLOOKUP($B8,DataLichVPR,23,0)&gt;0,"(*)",""))</f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>IF(ISNA(VLOOKUP($B8,DataLichVPR,17,0)),"",VLOOKUP($B8,DataLichVPR,17,0))</f>
      </c>
      <c r="AV8" s="76">
        <f>IF(ISNA(VLOOKUP($B8,DataLichVPR,11,0)),"",VLOOKUP($B8,DataLichVPR,11,0))</f>
      </c>
      <c r="AW8" s="76">
        <f>IF(ISNA(VLOOKUP($B8,DataLichVPR,12,0)),"",IF(VLOOKUP($B8,DataLichVPR,12,0)=0,"",VLOOKUP($B8,DataLichVPR,12,0)))</f>
      </c>
      <c r="AX8" s="77">
        <f>IF(ISNUMBER(AD8),0,IF(AD8="прев. КВ",2,IF(AD8="сн с этапов",1,IF(AD8="не фин.",4,3))))</f>
        <v>0</v>
      </c>
      <c r="AY8" s="78">
        <f>IF($BB$5&lt;&gt;0,0,V8)</f>
        <v>0</v>
      </c>
      <c r="AZ8" s="79">
        <f>IF(U8&lt;&gt;"",AC8,"")</f>
        <v>0.0009837962962962964</v>
      </c>
      <c r="BA8" s="5"/>
      <c r="BB8" s="5"/>
      <c r="BC8" s="5"/>
      <c r="BD8" s="5"/>
      <c r="BE8" s="5"/>
    </row>
    <row r="9" spans="1:52" s="108" customFormat="1" ht="15" outlineLevel="1">
      <c r="A9" s="91"/>
      <c r="B9" s="92"/>
      <c r="C9" s="91"/>
      <c r="D9" s="93"/>
      <c r="E9" s="94" t="s">
        <v>52</v>
      </c>
      <c r="F9" s="95">
        <v>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100"/>
      <c r="V9" s="101"/>
      <c r="W9" s="98"/>
      <c r="X9" s="102"/>
      <c r="Y9" s="99"/>
      <c r="Z9" s="99"/>
      <c r="AA9" s="99"/>
      <c r="AB9" s="99"/>
      <c r="AC9" s="98"/>
      <c r="AD9" s="103"/>
      <c r="AE9" s="104"/>
      <c r="AF9" s="105"/>
      <c r="AG9" s="98"/>
      <c r="AH9" s="98"/>
      <c r="AI9" s="106"/>
      <c r="AJ9" s="101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07"/>
      <c r="AV9" s="98"/>
      <c r="AW9" s="98"/>
      <c r="AX9" s="98"/>
      <c r="AY9" s="98"/>
      <c r="AZ9" s="98"/>
    </row>
    <row r="10" spans="1:52" s="98" customFormat="1" ht="26.25" customHeight="1" outlineLevel="1">
      <c r="A10" s="109" t="str">
        <f>CONCATENATE("Главный судья_________________________ /",SignGlSud,"/")</f>
        <v>Главный судья_________________________ /М.В. Халтурин/</v>
      </c>
      <c r="B10" s="97"/>
      <c r="C10" s="97"/>
      <c r="D10" s="97"/>
      <c r="E10" s="110"/>
      <c r="F10" s="111"/>
      <c r="G10" s="96"/>
      <c r="H10" s="112"/>
      <c r="I10" s="113"/>
      <c r="J10" s="114"/>
      <c r="K10" s="113"/>
      <c r="L10" s="114"/>
      <c r="M10" s="114"/>
      <c r="N10" s="114"/>
      <c r="O10" s="114"/>
      <c r="P10" s="114"/>
      <c r="Q10" s="114"/>
      <c r="R10" s="114"/>
      <c r="S10" s="115"/>
      <c r="T10" s="115"/>
      <c r="U10" s="116"/>
      <c r="V10" s="117"/>
      <c r="W10" s="114"/>
      <c r="X10" s="118"/>
      <c r="Y10" s="115"/>
      <c r="Z10" s="115"/>
      <c r="AA10" s="115"/>
      <c r="AB10" s="115"/>
      <c r="AC10" s="114"/>
      <c r="AD10" s="119"/>
      <c r="AE10" s="102"/>
      <c r="AG10" s="105"/>
      <c r="AH10" s="105"/>
      <c r="AI10" s="120"/>
      <c r="AJ10" s="101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21"/>
      <c r="AV10" s="122"/>
      <c r="AW10" s="122"/>
      <c r="AX10" s="123"/>
      <c r="AY10" s="123"/>
      <c r="AZ10" s="123"/>
    </row>
    <row r="11" spans="1:49" s="98" customFormat="1" ht="27" customHeight="1" outlineLevel="1">
      <c r="A11" s="109" t="str">
        <f>CONCATENATE("Главный секретарь _____________________ /",SignGlSec,"/")</f>
        <v>Главный секретарь _____________________ /А.А. Ткач/</v>
      </c>
      <c r="C11" s="124"/>
      <c r="D11" s="124"/>
      <c r="E11" s="125"/>
      <c r="G11" s="126"/>
      <c r="H11" s="12"/>
      <c r="I11" s="13"/>
      <c r="K11" s="13"/>
      <c r="S11" s="99"/>
      <c r="T11" s="99"/>
      <c r="U11" s="99"/>
      <c r="V11" s="102"/>
      <c r="X11" s="102"/>
      <c r="Y11" s="99"/>
      <c r="Z11" s="99"/>
      <c r="AA11" s="99"/>
      <c r="AB11" s="99"/>
      <c r="AD11" s="124"/>
      <c r="AE11" s="102"/>
      <c r="AG11" s="105"/>
      <c r="AH11" s="105"/>
      <c r="AI11" s="127"/>
      <c r="AJ11" s="101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28"/>
      <c r="AV11" s="124"/>
      <c r="AW11" s="124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1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AK1:AT11">
      <formula1>0</formula1>
      <formula2>0.999988425925926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"/>
  <sheetViews>
    <sheetView zoomScalePageLayoutView="0" workbookViewId="0" topLeftCell="A4">
      <selection activeCell="G9" sqref="G9"/>
    </sheetView>
  </sheetViews>
  <sheetFormatPr defaultColWidth="9.140625" defaultRowHeight="15" outlineLevelRow="1"/>
  <cols>
    <col min="2" max="2" width="0" style="0" hidden="1" customWidth="1"/>
    <col min="3" max="3" width="18.57421875" style="0" customWidth="1"/>
    <col min="6" max="6" width="14.7109375" style="0" customWidth="1"/>
    <col min="7" max="7" width="20.8515625" style="0" customWidth="1"/>
    <col min="8" max="20" width="0" style="0" hidden="1" customWidth="1"/>
    <col min="22" max="29" width="0" style="0" hidden="1" customWidth="1"/>
    <col min="36" max="58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80">
        <v>1</v>
      </c>
      <c r="B7" s="53" t="s">
        <v>77</v>
      </c>
      <c r="C7" s="147" t="s">
        <v>78</v>
      </c>
      <c r="D7" s="152">
        <v>2002</v>
      </c>
      <c r="E7" s="153" t="s">
        <v>76</v>
      </c>
      <c r="F7" s="150" t="s">
        <v>56</v>
      </c>
      <c r="G7" s="151" t="s">
        <v>57</v>
      </c>
      <c r="H7" s="81">
        <f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>
        <v>0.008368055555555556</v>
      </c>
      <c r="T7" s="60"/>
      <c r="U7" s="61">
        <v>0.004062499999999999</v>
      </c>
      <c r="V7" s="62">
        <f>COUNTIF(I7:R7,"сн")</f>
        <v>0</v>
      </c>
      <c r="W7" s="63">
        <f>SUM(AK7:AT7)</f>
        <v>0</v>
      </c>
      <c r="X7" s="64">
        <f>SUM(I7:R7)</f>
        <v>0</v>
      </c>
      <c r="Y7" s="65">
        <f>IF(X7&gt;0,X7*$BA$5,"")</f>
      </c>
      <c r="Z7" s="65">
        <f>IF(AND($BB$5&lt;&gt;0,V7&gt;0),V7*$BB$5,"")</f>
      </c>
      <c r="AA7" s="65">
        <f>IF(AJ7&gt;0,AJ7*$BC$5,"")</f>
      </c>
      <c r="AB7" s="66">
        <f>SUM(Y7:AA7)</f>
        <v>0</v>
      </c>
      <c r="AC7" s="67">
        <f>IF(T7="сн с дист","-",IF(ISNUMBER(U7),U7-W7+AB7,""))</f>
        <v>0.004062499999999999</v>
      </c>
      <c r="AD7" s="68">
        <f>U7</f>
        <v>0.004062499999999999</v>
      </c>
      <c r="AE7" s="86" t="s">
        <v>54</v>
      </c>
      <c r="AF7" s="70">
        <f>IF(AX7=0,AD7/SMALL($AD$7:$AD$7,1),"")</f>
        <v>1</v>
      </c>
      <c r="AG7" s="87"/>
      <c r="AH7" s="88">
        <f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>IF(ISNA(VLOOKUP($B7,DataLichVPR,17,0)),"",VLOOKUP($B7,DataLichVPR,17,0))</f>
      </c>
      <c r="AV7" s="76">
        <f>IF(ISNA(VLOOKUP($B7,DataLichVPR,11,0)),"",VLOOKUP($B7,DataLichVPR,11,0))</f>
      </c>
      <c r="AW7" s="76">
        <f>IF(ISNA(VLOOKUP($B7,DataLichVPR,12,0)),"",IF(VLOOKUP($B7,DataLichVPR,12,0)=0,"",VLOOKUP($B7,DataLichVPR,12,0)))</f>
      </c>
      <c r="AX7" s="77">
        <f>IF(ISNUMBER(AD7),0,IF(AD7="прев. КВ",2,IF(AD7="сн с этапов",1,IF(AD7="не фин.",4,3))))</f>
        <v>0</v>
      </c>
      <c r="AY7" s="78">
        <f>IF($BB$5&lt;&gt;0,0,V7)</f>
        <v>0</v>
      </c>
      <c r="AZ7" s="79">
        <f>IF(U7&lt;&gt;"",AC7,"")</f>
        <v>0.004062499999999999</v>
      </c>
    </row>
    <row r="8" spans="1:52" s="108" customFormat="1" ht="15" outlineLevel="1">
      <c r="A8" s="91"/>
      <c r="B8" s="92"/>
      <c r="C8" s="91"/>
      <c r="D8" s="93"/>
      <c r="E8" s="94" t="s">
        <v>52</v>
      </c>
      <c r="F8" s="95">
        <v>0</v>
      </c>
      <c r="G8" s="96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100"/>
      <c r="V8" s="101"/>
      <c r="W8" s="98"/>
      <c r="X8" s="102"/>
      <c r="Y8" s="99"/>
      <c r="Z8" s="99"/>
      <c r="AA8" s="99"/>
      <c r="AB8" s="99"/>
      <c r="AC8" s="98"/>
      <c r="AD8" s="103"/>
      <c r="AE8" s="104"/>
      <c r="AF8" s="105"/>
      <c r="AG8" s="98"/>
      <c r="AH8" s="98"/>
      <c r="AI8" s="106"/>
      <c r="AJ8" s="101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107"/>
      <c r="AV8" s="98"/>
      <c r="AW8" s="98"/>
      <c r="AX8" s="98"/>
      <c r="AY8" s="98"/>
      <c r="AZ8" s="98"/>
    </row>
    <row r="9" spans="1:52" s="98" customFormat="1" ht="26.25" customHeight="1" outlineLevel="1">
      <c r="A9" s="109" t="str">
        <f>CONCATENATE("Главный судья_________________________ /",SignGlSud,"/")</f>
        <v>Главный судья_________________________ /М.В. Халтурин/</v>
      </c>
      <c r="B9" s="97"/>
      <c r="C9" s="97"/>
      <c r="D9" s="97"/>
      <c r="E9" s="110"/>
      <c r="F9" s="111"/>
      <c r="G9" s="96"/>
      <c r="H9" s="112"/>
      <c r="I9" s="113"/>
      <c r="J9" s="114"/>
      <c r="K9" s="113"/>
      <c r="L9" s="114"/>
      <c r="M9" s="114"/>
      <c r="N9" s="114"/>
      <c r="O9" s="114"/>
      <c r="P9" s="114"/>
      <c r="Q9" s="114"/>
      <c r="R9" s="114"/>
      <c r="S9" s="115"/>
      <c r="T9" s="115"/>
      <c r="U9" s="116"/>
      <c r="V9" s="117"/>
      <c r="W9" s="114"/>
      <c r="X9" s="118"/>
      <c r="Y9" s="115"/>
      <c r="Z9" s="115"/>
      <c r="AA9" s="115"/>
      <c r="AB9" s="115"/>
      <c r="AC9" s="114"/>
      <c r="AD9" s="119"/>
      <c r="AE9" s="102"/>
      <c r="AG9" s="105"/>
      <c r="AH9" s="105"/>
      <c r="AI9" s="120"/>
      <c r="AJ9" s="101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21"/>
      <c r="AV9" s="122"/>
      <c r="AW9" s="122"/>
      <c r="AX9" s="123"/>
      <c r="AY9" s="123"/>
      <c r="AZ9" s="123"/>
    </row>
    <row r="10" spans="1:49" s="98" customFormat="1" ht="27" customHeight="1" outlineLevel="1">
      <c r="A10" s="109" t="str">
        <f>CONCATENATE("Главный секретарь _____________________ /",SignGlSec,"/")</f>
        <v>Главный секретарь _____________________ /А.А. Ткач/</v>
      </c>
      <c r="C10" s="124"/>
      <c r="D10" s="124"/>
      <c r="E10" s="125"/>
      <c r="G10" s="126"/>
      <c r="H10" s="12"/>
      <c r="I10" s="13"/>
      <c r="K10" s="13"/>
      <c r="S10" s="99"/>
      <c r="T10" s="99"/>
      <c r="U10" s="99"/>
      <c r="V10" s="102"/>
      <c r="X10" s="102"/>
      <c r="Y10" s="99"/>
      <c r="Z10" s="99"/>
      <c r="AA10" s="99"/>
      <c r="AB10" s="99"/>
      <c r="AD10" s="124"/>
      <c r="AE10" s="102"/>
      <c r="AG10" s="105"/>
      <c r="AH10" s="105"/>
      <c r="AI10" s="127"/>
      <c r="AJ10" s="101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28"/>
      <c r="AV10" s="124"/>
      <c r="AW10" s="124"/>
    </row>
    <row r="11" spans="1:49" s="5" customFormat="1" ht="12.75">
      <c r="A11" s="129"/>
      <c r="B11" s="8"/>
      <c r="C11" s="9"/>
      <c r="D11" s="9"/>
      <c r="E11" s="10"/>
      <c r="F11" s="8"/>
      <c r="G11" s="11"/>
      <c r="H11" s="12"/>
      <c r="L11" s="8"/>
      <c r="M11" s="8"/>
      <c r="S11" s="130"/>
      <c r="T11" s="130"/>
      <c r="U11" s="131"/>
      <c r="V11" s="132"/>
      <c r="X11" s="133"/>
      <c r="Y11" s="130"/>
      <c r="Z11" s="130"/>
      <c r="AA11" s="130"/>
      <c r="AB11" s="130"/>
      <c r="AD11" s="134"/>
      <c r="AE11" s="135"/>
      <c r="AF11" s="136"/>
      <c r="AI11" s="1"/>
      <c r="AJ11" s="2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22"/>
      <c r="AV11" s="23"/>
      <c r="AW11" s="23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1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AK1:AT11">
      <formula1>0</formula1>
      <formula2>0.999988425925926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5"/>
  <sheetViews>
    <sheetView zoomScalePageLayoutView="0" workbookViewId="0" topLeftCell="A6">
      <selection activeCell="G16" sqref="G16"/>
    </sheetView>
  </sheetViews>
  <sheetFormatPr defaultColWidth="9.140625" defaultRowHeight="15" outlineLevelRow="1"/>
  <cols>
    <col min="2" max="2" width="0" style="0" hidden="1" customWidth="1"/>
    <col min="3" max="3" width="20.28125" style="0" customWidth="1"/>
    <col min="6" max="6" width="14.00390625" style="0" customWidth="1"/>
    <col min="7" max="7" width="21.421875" style="0" customWidth="1"/>
    <col min="8" max="20" width="0" style="0" hidden="1" customWidth="1"/>
    <col min="22" max="29" width="0" style="0" hidden="1" customWidth="1"/>
    <col min="36" max="61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110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87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74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45" t="s">
        <v>17</v>
      </c>
      <c r="AI5" s="1"/>
      <c r="AJ5" s="26"/>
      <c r="AK5" s="164" t="s">
        <v>18</v>
      </c>
      <c r="AL5" s="165"/>
      <c r="AM5" s="165"/>
      <c r="AN5" s="165"/>
      <c r="AO5" s="165"/>
      <c r="AP5" s="165"/>
      <c r="AQ5" s="165"/>
      <c r="AR5" s="165"/>
      <c r="AS5" s="165"/>
      <c r="AT5" s="166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88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75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46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7" s="5" customFormat="1" ht="13.5" customHeight="1">
      <c r="A7" s="80">
        <v>1</v>
      </c>
      <c r="B7" s="53" t="s">
        <v>66</v>
      </c>
      <c r="C7" s="147" t="s">
        <v>67</v>
      </c>
      <c r="D7" s="152">
        <v>2000</v>
      </c>
      <c r="E7" s="153" t="s">
        <v>54</v>
      </c>
      <c r="F7" s="150" t="s">
        <v>56</v>
      </c>
      <c r="G7" s="151" t="s">
        <v>57</v>
      </c>
      <c r="H7" s="81">
        <f aca="true" t="shared" si="0" ref="H7:H12"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0.0013078703703703705</v>
      </c>
      <c r="V7" s="62">
        <f aca="true" t="shared" si="1" ref="V7:V12">COUNTIF(I7:R7,"сн")</f>
        <v>0</v>
      </c>
      <c r="W7" s="63">
        <f aca="true" t="shared" si="2" ref="W7:W12">SUM(AK7:AT7)</f>
        <v>0</v>
      </c>
      <c r="X7" s="64">
        <f aca="true" t="shared" si="3" ref="X7:X12">SUM(I7:R7)</f>
        <v>0</v>
      </c>
      <c r="Y7" s="65">
        <f aca="true" t="shared" si="4" ref="Y7:Y12">IF(X7&gt;0,X7*$BA$5,"")</f>
      </c>
      <c r="Z7" s="65">
        <f aca="true" t="shared" si="5" ref="Z7:Z12">IF(AND($BB$5&lt;&gt;0,V7&gt;0),V7*$BB$5,"")</f>
      </c>
      <c r="AA7" s="65">
        <f aca="true" t="shared" si="6" ref="AA7:AA12">IF(AJ7&gt;0,AJ7*$BC$5,"")</f>
      </c>
      <c r="AB7" s="66">
        <f aca="true" t="shared" si="7" ref="AB7:AB12">SUM(Y7:AA7)</f>
        <v>0</v>
      </c>
      <c r="AC7" s="67">
        <f aca="true" t="shared" si="8" ref="AC7:AC12">IF(T7="сн с дист","-",IF(ISNUMBER(U7),U7-W7+AB7,""))</f>
        <v>0.0013078703703703705</v>
      </c>
      <c r="AD7" s="68">
        <f aca="true" t="shared" si="9" ref="AD7:AD12">U7</f>
        <v>0.0013078703703703705</v>
      </c>
      <c r="AE7" s="86" t="s">
        <v>54</v>
      </c>
      <c r="AF7" s="70">
        <f aca="true" t="shared" si="10" ref="AF7:AF12">IF(AX7=0,AD7/SMALL($AD$7:$AD$12,1),"")</f>
        <v>1</v>
      </c>
      <c r="AG7" s="87"/>
      <c r="AH7" s="88">
        <f aca="true" t="shared" si="11" ref="AH7:AH12">IF(ISNA(VLOOKUP($B7,DataLichVPR,23,0)),"",IF(VLOOKUP($B7,DataLichVPR,23,0)&gt;0,"(*)",""))</f>
      </c>
      <c r="AI7" s="90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 aca="true" t="shared" si="12" ref="AU7:AU12">IF(ISNA(VLOOKUP($B7,DataLichVPR,17,0)),"",VLOOKUP($B7,DataLichVPR,17,0))</f>
      </c>
      <c r="AV7" s="76">
        <f aca="true" t="shared" si="13" ref="AV7:AV12">IF(ISNA(VLOOKUP($B7,DataLichVPR,11,0)),"",VLOOKUP($B7,DataLichVPR,11,0))</f>
      </c>
      <c r="AW7" s="76">
        <f aca="true" t="shared" si="14" ref="AW7:AW12">IF(ISNA(VLOOKUP($B7,DataLichVPR,12,0)),"",IF(VLOOKUP($B7,DataLichVPR,12,0)=0,"",VLOOKUP($B7,DataLichVPR,12,0)))</f>
      </c>
      <c r="AX7" s="77">
        <f aca="true" t="shared" si="15" ref="AX7:AX12">IF(ISNUMBER(AD7),0,IF(AD7="прев. КВ",2,IF(AD7="сн с этапов",1,IF(AD7="не фин.",4,3))))</f>
        <v>0</v>
      </c>
      <c r="AY7" s="78">
        <f aca="true" t="shared" si="16" ref="AY7:AY12">IF($BB$5&lt;&gt;0,0,V7)</f>
        <v>0</v>
      </c>
      <c r="AZ7" s="79">
        <f aca="true" t="shared" si="17" ref="AZ7:AZ12">IF(U7&lt;&gt;"",AC7,"")</f>
        <v>0.0013078703703703705</v>
      </c>
      <c r="BA7" s="8"/>
      <c r="BB7" s="8"/>
      <c r="BC7" s="8"/>
      <c r="BD7" s="8"/>
      <c r="BE7" s="8"/>
    </row>
    <row r="8" spans="1:52" s="5" customFormat="1" ht="13.5" customHeight="1">
      <c r="A8" s="80">
        <v>2</v>
      </c>
      <c r="B8" s="53" t="s">
        <v>88</v>
      </c>
      <c r="C8" s="147" t="s">
        <v>83</v>
      </c>
      <c r="D8" s="152">
        <v>2000</v>
      </c>
      <c r="E8" s="153" t="s">
        <v>90</v>
      </c>
      <c r="F8" s="150" t="s">
        <v>91</v>
      </c>
      <c r="G8" s="151" t="s">
        <v>92</v>
      </c>
      <c r="H8" s="81">
        <f t="shared" si="0"/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0.0015856481481481479</v>
      </c>
      <c r="V8" s="62">
        <f t="shared" si="1"/>
        <v>0</v>
      </c>
      <c r="W8" s="63">
        <f t="shared" si="2"/>
        <v>0</v>
      </c>
      <c r="X8" s="64">
        <f t="shared" si="3"/>
        <v>0</v>
      </c>
      <c r="Y8" s="65">
        <f t="shared" si="4"/>
      </c>
      <c r="Z8" s="65">
        <f t="shared" si="5"/>
      </c>
      <c r="AA8" s="65">
        <f t="shared" si="6"/>
      </c>
      <c r="AB8" s="66">
        <f t="shared" si="7"/>
        <v>0</v>
      </c>
      <c r="AC8" s="67">
        <f t="shared" si="8"/>
        <v>0.0015856481481481479</v>
      </c>
      <c r="AD8" s="68">
        <f t="shared" si="9"/>
        <v>0.0015856481481481479</v>
      </c>
      <c r="AE8" s="86" t="s">
        <v>65</v>
      </c>
      <c r="AF8" s="70">
        <f t="shared" si="10"/>
        <v>1.2123893805309731</v>
      </c>
      <c r="AG8" s="87"/>
      <c r="AH8" s="88">
        <f t="shared" si="11"/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 t="shared" si="12"/>
      </c>
      <c r="AV8" s="76">
        <f t="shared" si="13"/>
      </c>
      <c r="AW8" s="76">
        <f t="shared" si="14"/>
      </c>
      <c r="AX8" s="77">
        <f t="shared" si="15"/>
        <v>0</v>
      </c>
      <c r="AY8" s="78">
        <f t="shared" si="16"/>
        <v>0</v>
      </c>
      <c r="AZ8" s="79">
        <f t="shared" si="17"/>
        <v>0.0015856481481481479</v>
      </c>
    </row>
    <row r="9" spans="1:52" s="5" customFormat="1" ht="13.5" customHeight="1">
      <c r="A9" s="80">
        <v>3</v>
      </c>
      <c r="B9" s="53" t="s">
        <v>63</v>
      </c>
      <c r="C9" s="147" t="s">
        <v>64</v>
      </c>
      <c r="D9" s="152">
        <v>2000</v>
      </c>
      <c r="E9" s="153" t="s">
        <v>65</v>
      </c>
      <c r="F9" s="150" t="s">
        <v>56</v>
      </c>
      <c r="G9" s="151" t="s">
        <v>57</v>
      </c>
      <c r="H9" s="81">
        <f t="shared" si="0"/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0.0016087962962962963</v>
      </c>
      <c r="V9" s="62">
        <f t="shared" si="1"/>
        <v>0</v>
      </c>
      <c r="W9" s="63">
        <f t="shared" si="2"/>
        <v>0</v>
      </c>
      <c r="X9" s="64">
        <f t="shared" si="3"/>
        <v>0</v>
      </c>
      <c r="Y9" s="65">
        <f t="shared" si="4"/>
      </c>
      <c r="Z9" s="65">
        <f t="shared" si="5"/>
      </c>
      <c r="AA9" s="65">
        <f t="shared" si="6"/>
      </c>
      <c r="AB9" s="66">
        <f t="shared" si="7"/>
        <v>0</v>
      </c>
      <c r="AC9" s="67">
        <f t="shared" si="8"/>
        <v>0.0016087962962962963</v>
      </c>
      <c r="AD9" s="68">
        <f t="shared" si="9"/>
        <v>0.0016087962962962963</v>
      </c>
      <c r="AE9" s="86" t="s">
        <v>90</v>
      </c>
      <c r="AF9" s="70">
        <f t="shared" si="10"/>
        <v>1.2300884955752212</v>
      </c>
      <c r="AG9" s="87"/>
      <c r="AH9" s="88">
        <f t="shared" si="11"/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 t="shared" si="12"/>
      </c>
      <c r="AV9" s="76">
        <f t="shared" si="13"/>
      </c>
      <c r="AW9" s="76">
        <f t="shared" si="14"/>
      </c>
      <c r="AX9" s="77">
        <f t="shared" si="15"/>
        <v>0</v>
      </c>
      <c r="AY9" s="78">
        <f t="shared" si="16"/>
        <v>0</v>
      </c>
      <c r="AZ9" s="79">
        <f t="shared" si="17"/>
        <v>0.0016087962962962963</v>
      </c>
    </row>
    <row r="10" spans="1:52" s="5" customFormat="1" ht="13.5" customHeight="1">
      <c r="A10" s="80">
        <v>4</v>
      </c>
      <c r="B10" s="53" t="s">
        <v>70</v>
      </c>
      <c r="C10" s="147" t="s">
        <v>71</v>
      </c>
      <c r="D10" s="152">
        <v>2001</v>
      </c>
      <c r="E10" s="153" t="s">
        <v>65</v>
      </c>
      <c r="F10" s="150" t="s">
        <v>56</v>
      </c>
      <c r="G10" s="151" t="s">
        <v>57</v>
      </c>
      <c r="H10" s="81">
        <f t="shared" si="0"/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0.0019560185185185184</v>
      </c>
      <c r="V10" s="62">
        <f t="shared" si="1"/>
        <v>0</v>
      </c>
      <c r="W10" s="63">
        <f t="shared" si="2"/>
        <v>0</v>
      </c>
      <c r="X10" s="64">
        <f t="shared" si="3"/>
        <v>0</v>
      </c>
      <c r="Y10" s="65">
        <f t="shared" si="4"/>
      </c>
      <c r="Z10" s="65">
        <f t="shared" si="5"/>
      </c>
      <c r="AA10" s="65">
        <f t="shared" si="6"/>
      </c>
      <c r="AB10" s="66">
        <f t="shared" si="7"/>
        <v>0</v>
      </c>
      <c r="AC10" s="67">
        <f t="shared" si="8"/>
        <v>0.0019560185185185184</v>
      </c>
      <c r="AD10" s="68">
        <f t="shared" si="9"/>
        <v>0.0019560185185185184</v>
      </c>
      <c r="AE10" s="86">
        <v>4</v>
      </c>
      <c r="AF10" s="70">
        <f t="shared" si="10"/>
        <v>1.495575221238938</v>
      </c>
      <c r="AG10" s="87"/>
      <c r="AH10" s="88">
        <f t="shared" si="11"/>
      </c>
      <c r="AI10" s="89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 t="shared" si="12"/>
      </c>
      <c r="AV10" s="76">
        <f t="shared" si="13"/>
      </c>
      <c r="AW10" s="76">
        <f t="shared" si="14"/>
      </c>
      <c r="AX10" s="77">
        <f t="shared" si="15"/>
        <v>0</v>
      </c>
      <c r="AY10" s="78">
        <f t="shared" si="16"/>
        <v>0</v>
      </c>
      <c r="AZ10" s="79">
        <f t="shared" si="17"/>
        <v>0.0019560185185185184</v>
      </c>
    </row>
    <row r="11" spans="1:52" s="5" customFormat="1" ht="13.5" customHeight="1">
      <c r="A11" s="80">
        <v>5</v>
      </c>
      <c r="B11" s="53" t="s">
        <v>68</v>
      </c>
      <c r="C11" s="147" t="s">
        <v>69</v>
      </c>
      <c r="D11" s="152">
        <v>2000</v>
      </c>
      <c r="E11" s="153" t="s">
        <v>65</v>
      </c>
      <c r="F11" s="150" t="s">
        <v>56</v>
      </c>
      <c r="G11" s="151" t="s">
        <v>57</v>
      </c>
      <c r="H11" s="81">
        <f t="shared" si="0"/>
      </c>
      <c r="I11" s="82"/>
      <c r="J11" s="83"/>
      <c r="K11" s="83"/>
      <c r="L11" s="83"/>
      <c r="M11" s="83"/>
      <c r="N11" s="83"/>
      <c r="O11" s="83"/>
      <c r="P11" s="84"/>
      <c r="Q11" s="84"/>
      <c r="R11" s="85"/>
      <c r="S11" s="59"/>
      <c r="T11" s="60"/>
      <c r="U11" s="61">
        <v>0.0020833333333333333</v>
      </c>
      <c r="V11" s="62">
        <f t="shared" si="1"/>
        <v>0</v>
      </c>
      <c r="W11" s="63">
        <f t="shared" si="2"/>
        <v>0</v>
      </c>
      <c r="X11" s="64">
        <f t="shared" si="3"/>
        <v>0</v>
      </c>
      <c r="Y11" s="65">
        <f t="shared" si="4"/>
      </c>
      <c r="Z11" s="65">
        <f t="shared" si="5"/>
      </c>
      <c r="AA11" s="65">
        <f t="shared" si="6"/>
      </c>
      <c r="AB11" s="66">
        <f t="shared" si="7"/>
        <v>0</v>
      </c>
      <c r="AC11" s="67">
        <f t="shared" si="8"/>
        <v>0.0020833333333333333</v>
      </c>
      <c r="AD11" s="68">
        <f t="shared" si="9"/>
        <v>0.0020833333333333333</v>
      </c>
      <c r="AE11" s="86">
        <v>5</v>
      </c>
      <c r="AF11" s="70">
        <f t="shared" si="10"/>
        <v>1.5929203539823007</v>
      </c>
      <c r="AG11" s="87"/>
      <c r="AH11" s="88">
        <f t="shared" si="11"/>
      </c>
      <c r="AI11" s="89"/>
      <c r="AJ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>
        <f t="shared" si="12"/>
      </c>
      <c r="AV11" s="76">
        <f t="shared" si="13"/>
      </c>
      <c r="AW11" s="76">
        <f t="shared" si="14"/>
      </c>
      <c r="AX11" s="77">
        <f t="shared" si="15"/>
        <v>0</v>
      </c>
      <c r="AY11" s="78">
        <f t="shared" si="16"/>
        <v>0</v>
      </c>
      <c r="AZ11" s="79">
        <f t="shared" si="17"/>
        <v>0.0020833333333333333</v>
      </c>
    </row>
    <row r="12" spans="1:52" s="5" customFormat="1" ht="13.5" customHeight="1">
      <c r="A12" s="80">
        <v>6</v>
      </c>
      <c r="B12" s="53" t="s">
        <v>72</v>
      </c>
      <c r="C12" s="147" t="s">
        <v>73</v>
      </c>
      <c r="D12" s="152">
        <v>2000</v>
      </c>
      <c r="E12" s="153" t="s">
        <v>65</v>
      </c>
      <c r="F12" s="150" t="s">
        <v>56</v>
      </c>
      <c r="G12" s="151" t="s">
        <v>57</v>
      </c>
      <c r="H12" s="81">
        <f t="shared" si="0"/>
      </c>
      <c r="I12" s="82"/>
      <c r="J12" s="83"/>
      <c r="K12" s="83"/>
      <c r="L12" s="83"/>
      <c r="M12" s="83"/>
      <c r="N12" s="83"/>
      <c r="O12" s="83"/>
      <c r="P12" s="84"/>
      <c r="Q12" s="84"/>
      <c r="R12" s="85"/>
      <c r="S12" s="59"/>
      <c r="T12" s="60"/>
      <c r="U12" s="61">
        <v>0.0035069444444444445</v>
      </c>
      <c r="V12" s="62">
        <f t="shared" si="1"/>
        <v>0</v>
      </c>
      <c r="W12" s="63">
        <f t="shared" si="2"/>
        <v>0</v>
      </c>
      <c r="X12" s="64">
        <f t="shared" si="3"/>
        <v>0</v>
      </c>
      <c r="Y12" s="65">
        <f t="shared" si="4"/>
      </c>
      <c r="Z12" s="65">
        <f t="shared" si="5"/>
      </c>
      <c r="AA12" s="65">
        <f t="shared" si="6"/>
      </c>
      <c r="AB12" s="66">
        <f t="shared" si="7"/>
        <v>0</v>
      </c>
      <c r="AC12" s="67">
        <f t="shared" si="8"/>
        <v>0.0035069444444444445</v>
      </c>
      <c r="AD12" s="68">
        <f t="shared" si="9"/>
        <v>0.0035069444444444445</v>
      </c>
      <c r="AE12" s="86">
        <v>6</v>
      </c>
      <c r="AF12" s="70">
        <f t="shared" si="10"/>
        <v>2.6814159292035398</v>
      </c>
      <c r="AG12" s="87"/>
      <c r="AH12" s="88">
        <f t="shared" si="11"/>
      </c>
      <c r="AI12" s="89"/>
      <c r="AJ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5">
        <f t="shared" si="12"/>
      </c>
      <c r="AV12" s="76">
        <f t="shared" si="13"/>
      </c>
      <c r="AW12" s="76">
        <f t="shared" si="14"/>
      </c>
      <c r="AX12" s="77">
        <f t="shared" si="15"/>
        <v>0</v>
      </c>
      <c r="AY12" s="78">
        <f t="shared" si="16"/>
        <v>0</v>
      </c>
      <c r="AZ12" s="79">
        <f t="shared" si="17"/>
        <v>0.0035069444444444445</v>
      </c>
    </row>
    <row r="13" spans="1:52" s="108" customFormat="1" ht="15" outlineLevel="1">
      <c r="A13" s="91"/>
      <c r="B13" s="92"/>
      <c r="C13" s="91"/>
      <c r="D13" s="93"/>
      <c r="E13" s="94" t="s">
        <v>52</v>
      </c>
      <c r="F13" s="95">
        <v>0</v>
      </c>
      <c r="G13" s="96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  <c r="T13" s="99"/>
      <c r="U13" s="100"/>
      <c r="V13" s="101"/>
      <c r="W13" s="98"/>
      <c r="X13" s="102"/>
      <c r="Y13" s="99"/>
      <c r="Z13" s="99"/>
      <c r="AA13" s="99"/>
      <c r="AB13" s="99"/>
      <c r="AC13" s="98"/>
      <c r="AD13" s="103"/>
      <c r="AE13" s="104"/>
      <c r="AF13" s="105"/>
      <c r="AG13" s="98"/>
      <c r="AH13" s="98"/>
      <c r="AI13" s="106"/>
      <c r="AJ13" s="101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107"/>
      <c r="AV13" s="98"/>
      <c r="AW13" s="98"/>
      <c r="AX13" s="98"/>
      <c r="AY13" s="98"/>
      <c r="AZ13" s="98"/>
    </row>
    <row r="14" spans="1:52" s="98" customFormat="1" ht="26.25" customHeight="1" outlineLevel="1">
      <c r="A14" s="109" t="str">
        <f>CONCATENATE("Главный судья_________________________ /",SignGlSud,"/")</f>
        <v>Главный судья_________________________ /М.В. Халтурин/</v>
      </c>
      <c r="B14" s="97"/>
      <c r="C14" s="97"/>
      <c r="D14" s="97"/>
      <c r="E14" s="110"/>
      <c r="F14" s="111"/>
      <c r="G14" s="96"/>
      <c r="H14" s="112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5"/>
      <c r="T14" s="115"/>
      <c r="U14" s="116"/>
      <c r="V14" s="117"/>
      <c r="W14" s="114"/>
      <c r="X14" s="118"/>
      <c r="Y14" s="115"/>
      <c r="Z14" s="115"/>
      <c r="AA14" s="115"/>
      <c r="AB14" s="115"/>
      <c r="AC14" s="114"/>
      <c r="AD14" s="119"/>
      <c r="AE14" s="102"/>
      <c r="AG14" s="105"/>
      <c r="AH14" s="105"/>
      <c r="AI14" s="120"/>
      <c r="AJ14" s="101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21"/>
      <c r="AV14" s="122"/>
      <c r="AW14" s="122"/>
      <c r="AX14" s="123"/>
      <c r="AY14" s="123"/>
      <c r="AZ14" s="123"/>
    </row>
    <row r="15" spans="1:49" s="98" customFormat="1" ht="27" customHeight="1" outlineLevel="1">
      <c r="A15" s="109" t="str">
        <f>CONCATENATE("Главный секретарь _____________________ /",SignGlSec,"/")</f>
        <v>Главный секретарь _____________________ /А.А. Ткач/</v>
      </c>
      <c r="C15" s="124"/>
      <c r="D15" s="124"/>
      <c r="E15" s="125"/>
      <c r="G15" s="126"/>
      <c r="H15" s="12"/>
      <c r="I15" s="13"/>
      <c r="K15" s="13"/>
      <c r="S15" s="99"/>
      <c r="T15" s="99"/>
      <c r="U15" s="99"/>
      <c r="V15" s="102"/>
      <c r="X15" s="102"/>
      <c r="Y15" s="99"/>
      <c r="Z15" s="99"/>
      <c r="AA15" s="99"/>
      <c r="AB15" s="99"/>
      <c r="AD15" s="124"/>
      <c r="AE15" s="102"/>
      <c r="AG15" s="105"/>
      <c r="AH15" s="105"/>
      <c r="AI15" s="127"/>
      <c r="AJ15" s="101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28"/>
      <c r="AV15" s="124"/>
      <c r="AW15" s="124"/>
    </row>
  </sheetData>
  <sheetProtection/>
  <mergeCells count="16">
    <mergeCell ref="AK5:AT5"/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H5:H6"/>
    <mergeCell ref="I5:R5"/>
    <mergeCell ref="S5:S6"/>
    <mergeCell ref="T5:T6"/>
    <mergeCell ref="U5:AG5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5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AK1:AT15">
      <formula1>0</formula1>
      <formula2>0.999988425925926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PageLayoutView="0" workbookViewId="0" topLeftCell="A1">
      <selection activeCell="AG15" sqref="AG15"/>
    </sheetView>
  </sheetViews>
  <sheetFormatPr defaultColWidth="9.140625" defaultRowHeight="15" outlineLevelRow="1"/>
  <cols>
    <col min="2" max="2" width="0" style="0" hidden="1" customWidth="1"/>
    <col min="3" max="3" width="23.00390625" style="0" customWidth="1"/>
    <col min="6" max="6" width="16.00390625" style="0" customWidth="1"/>
    <col min="7" max="7" width="22.7109375" style="0" customWidth="1"/>
    <col min="8" max="20" width="0" style="0" hidden="1" customWidth="1"/>
    <col min="22" max="29" width="0" style="0" hidden="1" customWidth="1"/>
    <col min="36" max="57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111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80">
        <v>1</v>
      </c>
      <c r="B7" s="53" t="s">
        <v>51</v>
      </c>
      <c r="C7" s="147" t="s">
        <v>53</v>
      </c>
      <c r="D7" s="152">
        <v>1999</v>
      </c>
      <c r="E7" s="153" t="s">
        <v>54</v>
      </c>
      <c r="F7" s="150" t="s">
        <v>56</v>
      </c>
      <c r="G7" s="151" t="s">
        <v>57</v>
      </c>
      <c r="H7" s="81">
        <f aca="true" t="shared" si="0" ref="H7:H13"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0.0008101851851851852</v>
      </c>
      <c r="V7" s="62">
        <f aca="true" t="shared" si="1" ref="V7:V13">COUNTIF(I7:R7,"сн")</f>
        <v>0</v>
      </c>
      <c r="W7" s="63">
        <f aca="true" t="shared" si="2" ref="W7:W13">SUM(AK7:AT7)</f>
        <v>0</v>
      </c>
      <c r="X7" s="64">
        <f aca="true" t="shared" si="3" ref="X7:X13">SUM(I7:R7)</f>
        <v>0</v>
      </c>
      <c r="Y7" s="65">
        <f aca="true" t="shared" si="4" ref="Y7:Y13">IF(X7&gt;0,X7*$BA$5,"")</f>
      </c>
      <c r="Z7" s="65">
        <f aca="true" t="shared" si="5" ref="Z7:Z13">IF(AND($BB$5&lt;&gt;0,V7&gt;0),V7*$BB$5,"")</f>
      </c>
      <c r="AA7" s="65">
        <f aca="true" t="shared" si="6" ref="AA7:AA13">IF(AJ7&gt;0,AJ7*$BC$5,"")</f>
      </c>
      <c r="AB7" s="66">
        <f aca="true" t="shared" si="7" ref="AB7:AB13">SUM(Y7:AA7)</f>
        <v>0</v>
      </c>
      <c r="AC7" s="67">
        <f aca="true" t="shared" si="8" ref="AC7:AC13">IF(T7="сн с дист","-",IF(ISNUMBER(U7),U7-W7+AB7,""))</f>
        <v>0.0008101851851851852</v>
      </c>
      <c r="AD7" s="68">
        <f aca="true" t="shared" si="9" ref="AD7:AD13">U7</f>
        <v>0.0008101851851851852</v>
      </c>
      <c r="AE7" s="86" t="s">
        <v>54</v>
      </c>
      <c r="AF7" s="70">
        <f aca="true" t="shared" si="10" ref="AF7:AF13">IF(AX7=0,AD7/SMALL($AD$7:$AD$13,1),"")</f>
        <v>1</v>
      </c>
      <c r="AG7" s="87"/>
      <c r="AH7" s="88">
        <f aca="true" t="shared" si="11" ref="AH7:AH13"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 aca="true" t="shared" si="12" ref="AU7:AU13">IF(ISNA(VLOOKUP($B7,DataLichVPR,17,0)),"",VLOOKUP($B7,DataLichVPR,17,0))</f>
      </c>
      <c r="AV7" s="76">
        <f aca="true" t="shared" si="13" ref="AV7:AV13">IF(ISNA(VLOOKUP($B7,DataLichVPR,11,0)),"",VLOOKUP($B7,DataLichVPR,11,0))</f>
      </c>
      <c r="AW7" s="76">
        <f aca="true" t="shared" si="14" ref="AW7:AW13">IF(ISNA(VLOOKUP($B7,DataLichVPR,12,0)),"",IF(VLOOKUP($B7,DataLichVPR,12,0)=0,"",VLOOKUP($B7,DataLichVPR,12,0)))</f>
      </c>
      <c r="AX7" s="77">
        <f aca="true" t="shared" si="15" ref="AX7:AX13">IF(ISNUMBER(AD7),0,IF(AD7="прев. КВ",2,IF(AD7="сн с этапов",1,IF(AD7="не фин.",4,3))))</f>
        <v>0</v>
      </c>
      <c r="AY7" s="78">
        <f aca="true" t="shared" si="16" ref="AY7:AY13">IF($BB$5&lt;&gt;0,0,V7)</f>
        <v>0</v>
      </c>
      <c r="AZ7" s="79">
        <f aca="true" t="shared" si="17" ref="AZ7:AZ13">IF(U7&lt;&gt;"",AC7,"")</f>
        <v>0.0008101851851851852</v>
      </c>
    </row>
    <row r="8" spans="1:52" s="5" customFormat="1" ht="13.5" customHeight="1">
      <c r="A8" s="80">
        <v>2</v>
      </c>
      <c r="B8" s="53" t="s">
        <v>60</v>
      </c>
      <c r="C8" s="147" t="s">
        <v>61</v>
      </c>
      <c r="D8" s="152">
        <v>1998</v>
      </c>
      <c r="E8" s="153" t="s">
        <v>62</v>
      </c>
      <c r="F8" s="150" t="s">
        <v>56</v>
      </c>
      <c r="G8" s="151" t="s">
        <v>57</v>
      </c>
      <c r="H8" s="81">
        <f t="shared" si="0"/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0.0008680555555555555</v>
      </c>
      <c r="V8" s="62">
        <f t="shared" si="1"/>
        <v>0</v>
      </c>
      <c r="W8" s="63">
        <f t="shared" si="2"/>
        <v>0</v>
      </c>
      <c r="X8" s="64">
        <f t="shared" si="3"/>
        <v>0</v>
      </c>
      <c r="Y8" s="65">
        <f t="shared" si="4"/>
      </c>
      <c r="Z8" s="65">
        <f t="shared" si="5"/>
      </c>
      <c r="AA8" s="65">
        <f t="shared" si="6"/>
      </c>
      <c r="AB8" s="66">
        <f t="shared" si="7"/>
        <v>0</v>
      </c>
      <c r="AC8" s="67">
        <f t="shared" si="8"/>
        <v>0.0008680555555555555</v>
      </c>
      <c r="AD8" s="68">
        <f t="shared" si="9"/>
        <v>0.0008680555555555555</v>
      </c>
      <c r="AE8" s="86" t="s">
        <v>65</v>
      </c>
      <c r="AF8" s="70">
        <f t="shared" si="10"/>
        <v>1.0714285714285714</v>
      </c>
      <c r="AG8" s="87"/>
      <c r="AH8" s="88">
        <f t="shared" si="11"/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 t="shared" si="12"/>
      </c>
      <c r="AV8" s="76">
        <f t="shared" si="13"/>
      </c>
      <c r="AW8" s="76">
        <f t="shared" si="14"/>
      </c>
      <c r="AX8" s="77">
        <f t="shared" si="15"/>
        <v>0</v>
      </c>
      <c r="AY8" s="78">
        <f t="shared" si="16"/>
        <v>0</v>
      </c>
      <c r="AZ8" s="79">
        <f t="shared" si="17"/>
        <v>0.0008680555555555555</v>
      </c>
    </row>
    <row r="9" spans="1:52" s="5" customFormat="1" ht="13.5" customHeight="1">
      <c r="A9" s="80">
        <v>3</v>
      </c>
      <c r="B9" s="53" t="s">
        <v>89</v>
      </c>
      <c r="C9" s="147" t="s">
        <v>93</v>
      </c>
      <c r="D9" s="152">
        <v>1998</v>
      </c>
      <c r="E9" s="153" t="s">
        <v>54</v>
      </c>
      <c r="F9" s="150" t="s">
        <v>99</v>
      </c>
      <c r="G9" s="151" t="s">
        <v>92</v>
      </c>
      <c r="H9" s="81">
        <f t="shared" si="0"/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0.0009259259259259259</v>
      </c>
      <c r="V9" s="62">
        <f t="shared" si="1"/>
        <v>0</v>
      </c>
      <c r="W9" s="63">
        <f t="shared" si="2"/>
        <v>0</v>
      </c>
      <c r="X9" s="64">
        <f t="shared" si="3"/>
        <v>0</v>
      </c>
      <c r="Y9" s="65">
        <f t="shared" si="4"/>
      </c>
      <c r="Z9" s="65">
        <f t="shared" si="5"/>
      </c>
      <c r="AA9" s="65">
        <f t="shared" si="6"/>
      </c>
      <c r="AB9" s="66">
        <f t="shared" si="7"/>
        <v>0</v>
      </c>
      <c r="AC9" s="67">
        <f t="shared" si="8"/>
        <v>0.0009259259259259259</v>
      </c>
      <c r="AD9" s="68">
        <f t="shared" si="9"/>
        <v>0.0009259259259259259</v>
      </c>
      <c r="AE9" s="86" t="s">
        <v>90</v>
      </c>
      <c r="AF9" s="70">
        <f t="shared" si="10"/>
        <v>1.1428571428571428</v>
      </c>
      <c r="AG9" s="87"/>
      <c r="AH9" s="88">
        <f t="shared" si="11"/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 t="shared" si="12"/>
      </c>
      <c r="AV9" s="76">
        <f t="shared" si="13"/>
      </c>
      <c r="AW9" s="76">
        <f t="shared" si="14"/>
      </c>
      <c r="AX9" s="77">
        <f t="shared" si="15"/>
        <v>0</v>
      </c>
      <c r="AY9" s="78">
        <f t="shared" si="16"/>
        <v>0</v>
      </c>
      <c r="AZ9" s="79">
        <f t="shared" si="17"/>
        <v>0.0009259259259259259</v>
      </c>
    </row>
    <row r="10" spans="1:52" s="5" customFormat="1" ht="13.5" customHeight="1">
      <c r="A10" s="80">
        <v>4</v>
      </c>
      <c r="B10" s="53" t="s">
        <v>101</v>
      </c>
      <c r="C10" s="147" t="s">
        <v>95</v>
      </c>
      <c r="D10" s="152">
        <v>1999</v>
      </c>
      <c r="E10" s="153" t="s">
        <v>54</v>
      </c>
      <c r="F10" s="150" t="s">
        <v>99</v>
      </c>
      <c r="G10" s="151" t="s">
        <v>92</v>
      </c>
      <c r="H10" s="81">
        <f t="shared" si="0"/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0.0011458333333333333</v>
      </c>
      <c r="V10" s="62">
        <f t="shared" si="1"/>
        <v>0</v>
      </c>
      <c r="W10" s="63">
        <f t="shared" si="2"/>
        <v>0</v>
      </c>
      <c r="X10" s="64">
        <f t="shared" si="3"/>
        <v>0</v>
      </c>
      <c r="Y10" s="65">
        <f t="shared" si="4"/>
      </c>
      <c r="Z10" s="65">
        <f t="shared" si="5"/>
      </c>
      <c r="AA10" s="65">
        <f t="shared" si="6"/>
      </c>
      <c r="AB10" s="66">
        <f t="shared" si="7"/>
        <v>0</v>
      </c>
      <c r="AC10" s="67">
        <f t="shared" si="8"/>
        <v>0.0011458333333333333</v>
      </c>
      <c r="AD10" s="68">
        <f t="shared" si="9"/>
        <v>0.0011458333333333333</v>
      </c>
      <c r="AE10" s="86">
        <v>4</v>
      </c>
      <c r="AF10" s="70">
        <f t="shared" si="10"/>
        <v>1.4142857142857144</v>
      </c>
      <c r="AG10" s="87"/>
      <c r="AH10" s="88">
        <f t="shared" si="11"/>
      </c>
      <c r="AI10" s="1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 t="shared" si="12"/>
      </c>
      <c r="AV10" s="76">
        <f t="shared" si="13"/>
      </c>
      <c r="AW10" s="76">
        <f t="shared" si="14"/>
      </c>
      <c r="AX10" s="77">
        <f t="shared" si="15"/>
        <v>0</v>
      </c>
      <c r="AY10" s="78">
        <f t="shared" si="16"/>
        <v>0</v>
      </c>
      <c r="AZ10" s="79">
        <f t="shared" si="17"/>
        <v>0.0011458333333333333</v>
      </c>
    </row>
    <row r="11" spans="1:52" s="5" customFormat="1" ht="13.5" customHeight="1">
      <c r="A11" s="80">
        <v>5</v>
      </c>
      <c r="B11" s="53" t="s">
        <v>102</v>
      </c>
      <c r="C11" s="147" t="s">
        <v>96</v>
      </c>
      <c r="D11" s="152">
        <v>1999</v>
      </c>
      <c r="E11" s="153" t="s">
        <v>65</v>
      </c>
      <c r="F11" s="150" t="s">
        <v>99</v>
      </c>
      <c r="G11" s="151" t="s">
        <v>92</v>
      </c>
      <c r="H11" s="81">
        <f t="shared" si="0"/>
      </c>
      <c r="I11" s="82"/>
      <c r="J11" s="83"/>
      <c r="K11" s="83"/>
      <c r="L11" s="83"/>
      <c r="M11" s="83"/>
      <c r="N11" s="83"/>
      <c r="O11" s="83"/>
      <c r="P11" s="84"/>
      <c r="Q11" s="84"/>
      <c r="R11" s="85"/>
      <c r="S11" s="59"/>
      <c r="T11" s="60"/>
      <c r="U11" s="61">
        <v>0.001261574074074074</v>
      </c>
      <c r="V11" s="62">
        <f t="shared" si="1"/>
        <v>0</v>
      </c>
      <c r="W11" s="63">
        <f t="shared" si="2"/>
        <v>0</v>
      </c>
      <c r="X11" s="64">
        <f t="shared" si="3"/>
        <v>0</v>
      </c>
      <c r="Y11" s="65">
        <f t="shared" si="4"/>
      </c>
      <c r="Z11" s="65">
        <f t="shared" si="5"/>
      </c>
      <c r="AA11" s="65">
        <f t="shared" si="6"/>
      </c>
      <c r="AB11" s="66">
        <f t="shared" si="7"/>
        <v>0</v>
      </c>
      <c r="AC11" s="67">
        <f t="shared" si="8"/>
        <v>0.001261574074074074</v>
      </c>
      <c r="AD11" s="68">
        <f t="shared" si="9"/>
        <v>0.001261574074074074</v>
      </c>
      <c r="AE11" s="86">
        <v>5</v>
      </c>
      <c r="AF11" s="70">
        <f t="shared" si="10"/>
        <v>1.5571428571428572</v>
      </c>
      <c r="AG11" s="87"/>
      <c r="AH11" s="88">
        <f t="shared" si="11"/>
      </c>
      <c r="AI11" s="89"/>
      <c r="AJ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>
        <f t="shared" si="12"/>
      </c>
      <c r="AV11" s="76">
        <f t="shared" si="13"/>
      </c>
      <c r="AW11" s="76">
        <f t="shared" si="14"/>
      </c>
      <c r="AX11" s="77">
        <f t="shared" si="15"/>
        <v>0</v>
      </c>
      <c r="AY11" s="78">
        <f t="shared" si="16"/>
        <v>0</v>
      </c>
      <c r="AZ11" s="79">
        <f t="shared" si="17"/>
        <v>0.001261574074074074</v>
      </c>
    </row>
    <row r="12" spans="1:52" s="5" customFormat="1" ht="13.5" customHeight="1">
      <c r="A12" s="80">
        <v>6</v>
      </c>
      <c r="B12" s="53" t="s">
        <v>100</v>
      </c>
      <c r="C12" s="147" t="s">
        <v>94</v>
      </c>
      <c r="D12" s="152">
        <v>1999</v>
      </c>
      <c r="E12" s="153" t="s">
        <v>54</v>
      </c>
      <c r="F12" s="150" t="s">
        <v>99</v>
      </c>
      <c r="G12" s="151" t="s">
        <v>92</v>
      </c>
      <c r="H12" s="81">
        <f t="shared" si="0"/>
      </c>
      <c r="I12" s="82"/>
      <c r="J12" s="83"/>
      <c r="K12" s="83"/>
      <c r="L12" s="83"/>
      <c r="M12" s="83"/>
      <c r="N12" s="83"/>
      <c r="O12" s="83"/>
      <c r="P12" s="84"/>
      <c r="Q12" s="84"/>
      <c r="R12" s="85"/>
      <c r="S12" s="59"/>
      <c r="T12" s="60"/>
      <c r="U12" s="61">
        <v>0.0012731481481481483</v>
      </c>
      <c r="V12" s="62">
        <f t="shared" si="1"/>
        <v>0</v>
      </c>
      <c r="W12" s="63">
        <f t="shared" si="2"/>
        <v>0</v>
      </c>
      <c r="X12" s="64">
        <f t="shared" si="3"/>
        <v>0</v>
      </c>
      <c r="Y12" s="65">
        <f t="shared" si="4"/>
      </c>
      <c r="Z12" s="65">
        <f t="shared" si="5"/>
      </c>
      <c r="AA12" s="65">
        <f t="shared" si="6"/>
      </c>
      <c r="AB12" s="66">
        <f t="shared" si="7"/>
        <v>0</v>
      </c>
      <c r="AC12" s="67">
        <f t="shared" si="8"/>
        <v>0.0012731481481481483</v>
      </c>
      <c r="AD12" s="68">
        <f t="shared" si="9"/>
        <v>0.0012731481481481483</v>
      </c>
      <c r="AE12" s="86">
        <v>6</v>
      </c>
      <c r="AF12" s="70">
        <f t="shared" si="10"/>
        <v>1.5714285714285716</v>
      </c>
      <c r="AG12" s="87"/>
      <c r="AH12" s="88">
        <f t="shared" si="11"/>
      </c>
      <c r="AI12" s="89"/>
      <c r="AJ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5">
        <f t="shared" si="12"/>
      </c>
      <c r="AV12" s="76">
        <f t="shared" si="13"/>
      </c>
      <c r="AW12" s="76">
        <f t="shared" si="14"/>
      </c>
      <c r="AX12" s="77">
        <f t="shared" si="15"/>
        <v>0</v>
      </c>
      <c r="AY12" s="78">
        <f t="shared" si="16"/>
        <v>0</v>
      </c>
      <c r="AZ12" s="79">
        <f t="shared" si="17"/>
        <v>0.0012731481481481483</v>
      </c>
    </row>
    <row r="13" spans="1:52" s="5" customFormat="1" ht="13.5" customHeight="1">
      <c r="A13" s="80">
        <v>7</v>
      </c>
      <c r="B13" s="53" t="s">
        <v>103</v>
      </c>
      <c r="C13" s="147" t="s">
        <v>97</v>
      </c>
      <c r="D13" s="152">
        <v>1998</v>
      </c>
      <c r="E13" s="153" t="s">
        <v>98</v>
      </c>
      <c r="F13" s="150" t="s">
        <v>99</v>
      </c>
      <c r="G13" s="151" t="s">
        <v>92</v>
      </c>
      <c r="H13" s="81">
        <f t="shared" si="0"/>
      </c>
      <c r="I13" s="82"/>
      <c r="J13" s="83"/>
      <c r="K13" s="83"/>
      <c r="L13" s="83"/>
      <c r="M13" s="83"/>
      <c r="N13" s="83"/>
      <c r="O13" s="83"/>
      <c r="P13" s="84"/>
      <c r="Q13" s="84"/>
      <c r="R13" s="85"/>
      <c r="S13" s="59"/>
      <c r="T13" s="60"/>
      <c r="U13" s="61">
        <v>0.0018750000000000001</v>
      </c>
      <c r="V13" s="62">
        <f t="shared" si="1"/>
        <v>0</v>
      </c>
      <c r="W13" s="63">
        <f t="shared" si="2"/>
        <v>0</v>
      </c>
      <c r="X13" s="64">
        <f t="shared" si="3"/>
        <v>0</v>
      </c>
      <c r="Y13" s="65">
        <f t="shared" si="4"/>
      </c>
      <c r="Z13" s="65">
        <f t="shared" si="5"/>
      </c>
      <c r="AA13" s="65">
        <f t="shared" si="6"/>
      </c>
      <c r="AB13" s="66">
        <f t="shared" si="7"/>
        <v>0</v>
      </c>
      <c r="AC13" s="67">
        <f t="shared" si="8"/>
        <v>0.0018750000000000001</v>
      </c>
      <c r="AD13" s="68">
        <f t="shared" si="9"/>
        <v>0.0018750000000000001</v>
      </c>
      <c r="AE13" s="86">
        <v>7</v>
      </c>
      <c r="AF13" s="70">
        <f t="shared" si="10"/>
        <v>2.3142857142857145</v>
      </c>
      <c r="AG13" s="87"/>
      <c r="AH13" s="88">
        <f t="shared" si="11"/>
      </c>
      <c r="AI13" s="89"/>
      <c r="AJ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>
        <f t="shared" si="12"/>
      </c>
      <c r="AV13" s="76">
        <f t="shared" si="13"/>
      </c>
      <c r="AW13" s="76">
        <f t="shared" si="14"/>
      </c>
      <c r="AX13" s="77">
        <f t="shared" si="15"/>
        <v>0</v>
      </c>
      <c r="AY13" s="78">
        <f t="shared" si="16"/>
        <v>0</v>
      </c>
      <c r="AZ13" s="79">
        <f t="shared" si="17"/>
        <v>0.0018750000000000001</v>
      </c>
    </row>
    <row r="14" spans="1:52" s="108" customFormat="1" ht="15" outlineLevel="1">
      <c r="A14" s="91"/>
      <c r="B14" s="92"/>
      <c r="C14" s="91"/>
      <c r="D14" s="93"/>
      <c r="E14" s="94" t="s">
        <v>52</v>
      </c>
      <c r="F14" s="95">
        <v>0</v>
      </c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100"/>
      <c r="V14" s="101"/>
      <c r="W14" s="98"/>
      <c r="X14" s="102"/>
      <c r="Y14" s="99"/>
      <c r="Z14" s="99"/>
      <c r="AA14" s="99"/>
      <c r="AB14" s="99"/>
      <c r="AC14" s="98"/>
      <c r="AD14" s="103"/>
      <c r="AE14" s="104"/>
      <c r="AF14" s="105"/>
      <c r="AG14" s="98"/>
      <c r="AH14" s="98"/>
      <c r="AI14" s="106"/>
      <c r="AJ14" s="101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07"/>
      <c r="AV14" s="98"/>
      <c r="AW14" s="98"/>
      <c r="AX14" s="98"/>
      <c r="AY14" s="98"/>
      <c r="AZ14" s="98"/>
    </row>
    <row r="15" spans="1:52" s="98" customFormat="1" ht="26.25" customHeight="1" outlineLevel="1">
      <c r="A15" s="109" t="str">
        <f>CONCATENATE("Главный судья_________________________ /",SignGlSud,"/")</f>
        <v>Главный судья_________________________ /М.В. Халтурин/</v>
      </c>
      <c r="B15" s="97"/>
      <c r="C15" s="97"/>
      <c r="D15" s="97"/>
      <c r="E15" s="110"/>
      <c r="F15" s="111"/>
      <c r="G15" s="96"/>
      <c r="H15" s="112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5"/>
      <c r="T15" s="115"/>
      <c r="U15" s="116"/>
      <c r="V15" s="117"/>
      <c r="W15" s="114"/>
      <c r="X15" s="118"/>
      <c r="Y15" s="115"/>
      <c r="Z15" s="115"/>
      <c r="AA15" s="115"/>
      <c r="AB15" s="115"/>
      <c r="AC15" s="114"/>
      <c r="AD15" s="119"/>
      <c r="AE15" s="102"/>
      <c r="AG15" s="105"/>
      <c r="AH15" s="105"/>
      <c r="AI15" s="120"/>
      <c r="AJ15" s="101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21"/>
      <c r="AV15" s="122"/>
      <c r="AW15" s="122"/>
      <c r="AX15" s="123"/>
      <c r="AY15" s="123"/>
      <c r="AZ15" s="123"/>
    </row>
    <row r="16" spans="1:49" s="98" customFormat="1" ht="27" customHeight="1" outlineLevel="1">
      <c r="A16" s="109" t="str">
        <f>CONCATENATE("Главный секретарь _____________________ /",SignGlSec,"/")</f>
        <v>Главный секретарь _____________________ /А.А. Ткач/</v>
      </c>
      <c r="C16" s="124"/>
      <c r="D16" s="124"/>
      <c r="E16" s="125"/>
      <c r="G16" s="126"/>
      <c r="H16" s="12"/>
      <c r="I16" s="13"/>
      <c r="K16" s="13"/>
      <c r="S16" s="99"/>
      <c r="T16" s="99"/>
      <c r="U16" s="99"/>
      <c r="V16" s="102"/>
      <c r="X16" s="102"/>
      <c r="Y16" s="99"/>
      <c r="Z16" s="99"/>
      <c r="AA16" s="99"/>
      <c r="AB16" s="99"/>
      <c r="AD16" s="124"/>
      <c r="AE16" s="102"/>
      <c r="AG16" s="105"/>
      <c r="AH16" s="105"/>
      <c r="AI16" s="127"/>
      <c r="AJ16" s="101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28"/>
      <c r="AV16" s="124"/>
      <c r="AW16" s="124"/>
    </row>
    <row r="17" spans="1:49" s="5" customFormat="1" ht="12.75">
      <c r="A17" s="129"/>
      <c r="B17" s="8"/>
      <c r="C17" s="9"/>
      <c r="D17" s="9"/>
      <c r="E17" s="10"/>
      <c r="F17" s="8"/>
      <c r="G17" s="11"/>
      <c r="H17" s="12"/>
      <c r="L17" s="8"/>
      <c r="M17" s="8"/>
      <c r="S17" s="130"/>
      <c r="T17" s="130"/>
      <c r="U17" s="131"/>
      <c r="V17" s="132"/>
      <c r="X17" s="133"/>
      <c r="Y17" s="130"/>
      <c r="Z17" s="130"/>
      <c r="AA17" s="130"/>
      <c r="AB17" s="130"/>
      <c r="AD17" s="134"/>
      <c r="AE17" s="135"/>
      <c r="AF17" s="136"/>
      <c r="AI17" s="1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22"/>
      <c r="AV17" s="23"/>
      <c r="AW17" s="23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time" allowBlank="1" showInputMessage="1" showErrorMessage="1" promptTitle="Отсечка на дистанции" errorTitle="Отсечка" error="Введите отсечку в формате времени - чч:мм:сс" sqref="AK1:AT17">
      <formula1>0</formula1>
      <formula2>0.999988425925926</formula2>
    </dataValidation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7">
      <formula1>0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"/>
  <sheetViews>
    <sheetView zoomScalePageLayoutView="0" workbookViewId="0" topLeftCell="A5">
      <selection activeCell="AE13" sqref="AE13"/>
    </sheetView>
  </sheetViews>
  <sheetFormatPr defaultColWidth="9.140625" defaultRowHeight="15" outlineLevelRow="1"/>
  <cols>
    <col min="2" max="2" width="0" style="0" hidden="1" customWidth="1"/>
    <col min="3" max="3" width="18.140625" style="0" customWidth="1"/>
    <col min="6" max="6" width="14.00390625" style="0" customWidth="1"/>
    <col min="7" max="7" width="21.8515625" style="0" customWidth="1"/>
    <col min="8" max="20" width="0" style="0" hidden="1" customWidth="1"/>
    <col min="22" max="29" width="0" style="0" hidden="1" customWidth="1"/>
    <col min="36" max="59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112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192" t="s">
        <v>15</v>
      </c>
      <c r="U5" s="169" t="s">
        <v>16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94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35" t="s">
        <v>32</v>
      </c>
      <c r="V6" s="36" t="s">
        <v>33</v>
      </c>
      <c r="W6" s="37" t="s">
        <v>34</v>
      </c>
      <c r="X6" s="38" t="s">
        <v>35</v>
      </c>
      <c r="Y6" s="39" t="s">
        <v>36</v>
      </c>
      <c r="Z6" s="39" t="s">
        <v>37</v>
      </c>
      <c r="AA6" s="39" t="s">
        <v>38</v>
      </c>
      <c r="AB6" s="40" t="s">
        <v>39</v>
      </c>
      <c r="AC6" s="41" t="s">
        <v>40</v>
      </c>
      <c r="AD6" s="42" t="s">
        <v>16</v>
      </c>
      <c r="AE6" s="43" t="s">
        <v>41</v>
      </c>
      <c r="AF6" s="44" t="s">
        <v>42</v>
      </c>
      <c r="AG6" s="45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2" s="5" customFormat="1" ht="13.5" customHeight="1">
      <c r="A7" s="52">
        <v>4</v>
      </c>
      <c r="B7" s="53" t="s">
        <v>85</v>
      </c>
      <c r="C7" s="147" t="s">
        <v>80</v>
      </c>
      <c r="D7" s="148">
        <v>1997</v>
      </c>
      <c r="E7" s="149" t="s">
        <v>54</v>
      </c>
      <c r="F7" s="150" t="s">
        <v>91</v>
      </c>
      <c r="G7" s="151" t="s">
        <v>92</v>
      </c>
      <c r="H7" s="54">
        <f>IF(ISNA(VLOOKUP($B7,DataLichVPR,13,0)),"",VLOOKUP($B7,DataLichVPR,13,0))</f>
      </c>
      <c r="I7" s="55"/>
      <c r="J7" s="56"/>
      <c r="K7" s="56"/>
      <c r="L7" s="56"/>
      <c r="M7" s="56"/>
      <c r="N7" s="56"/>
      <c r="O7" s="56"/>
      <c r="P7" s="57"/>
      <c r="Q7" s="57"/>
      <c r="R7" s="58"/>
      <c r="S7" s="59"/>
      <c r="T7" s="60"/>
      <c r="U7" s="61">
        <v>0.0011226851851851851</v>
      </c>
      <c r="V7" s="62">
        <f>COUNTIF(I7:R7,"сн")</f>
        <v>0</v>
      </c>
      <c r="W7" s="63">
        <f>SUM(AK7:AT7)</f>
        <v>0</v>
      </c>
      <c r="X7" s="64">
        <f>SUM(I7:R7)</f>
        <v>0</v>
      </c>
      <c r="Y7" s="65">
        <f>IF(X7&gt;0,X7*$BA$5,"")</f>
      </c>
      <c r="Z7" s="65">
        <f>IF(AND($BB$5&lt;&gt;0,V7&gt;0),V7*$BB$5,"")</f>
      </c>
      <c r="AA7" s="65">
        <f>IF(AJ7&gt;0,AJ7*$BC$5,"")</f>
      </c>
      <c r="AB7" s="66">
        <f>SUM(Y7:AA7)</f>
        <v>0</v>
      </c>
      <c r="AC7" s="67">
        <f>IF(T7="сн с дист","-",IF(ISNUMBER(U7),U7-W7+AB7,""))</f>
        <v>0.0011226851851851851</v>
      </c>
      <c r="AD7" s="68">
        <f>U7</f>
        <v>0.0011226851851851851</v>
      </c>
      <c r="AE7" s="69"/>
      <c r="AF7" s="70">
        <f>IF(AX7=0,AD7/SMALL($AD$7:$AD$10,1),"")</f>
        <v>1</v>
      </c>
      <c r="AG7" s="71"/>
      <c r="AH7" s="72">
        <f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>IF(ISNA(VLOOKUP($B7,DataLichVPR,17,0)),"",VLOOKUP($B7,DataLichVPR,17,0))</f>
      </c>
      <c r="AV7" s="76">
        <f>IF(ISNA(VLOOKUP($B7,DataLichVPR,11,0)),"",VLOOKUP($B7,DataLichVPR,11,0))</f>
      </c>
      <c r="AW7" s="76">
        <f>IF(ISNA(VLOOKUP($B7,DataLichVPR,12,0)),"",IF(VLOOKUP($B7,DataLichVPR,12,0)=0,"",VLOOKUP($B7,DataLichVPR,12,0)))</f>
      </c>
      <c r="AX7" s="77">
        <f>IF(ISNUMBER(AD7),0,IF(AD7="прев. КВ",2,IF(AD7="сн с этапов",1,IF(AD7="не фин.",4,3))))</f>
        <v>0</v>
      </c>
      <c r="AY7" s="78">
        <f>IF($BB$5&lt;&gt;0,0,V7)</f>
        <v>0</v>
      </c>
      <c r="AZ7" s="79">
        <f>IF(U7&lt;&gt;"",AC7,"")</f>
        <v>0.0011226851851851851</v>
      </c>
    </row>
    <row r="8" spans="1:52" s="5" customFormat="1" ht="13.5" customHeight="1">
      <c r="A8" s="80">
        <v>2</v>
      </c>
      <c r="B8" s="53" t="s">
        <v>86</v>
      </c>
      <c r="C8" s="147" t="s">
        <v>81</v>
      </c>
      <c r="D8" s="152">
        <v>1996</v>
      </c>
      <c r="E8" s="153" t="s">
        <v>54</v>
      </c>
      <c r="F8" s="150" t="s">
        <v>91</v>
      </c>
      <c r="G8" s="151" t="s">
        <v>92</v>
      </c>
      <c r="H8" s="81">
        <f>IF(ISNA(VLOOKUP($B8,DataLichVPR,13,0)),"",VLOOKUP($B8,DataLichVPR,13,0))</f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0.0012037037037037038</v>
      </c>
      <c r="V8" s="62">
        <f>COUNTIF(I8:R8,"сн")</f>
        <v>0</v>
      </c>
      <c r="W8" s="63">
        <f>SUM(AK8:AT8)</f>
        <v>0</v>
      </c>
      <c r="X8" s="64">
        <f>SUM(I8:R8)</f>
        <v>0</v>
      </c>
      <c r="Y8" s="65">
        <f>IF(X8&gt;0,X8*$BA$5,"")</f>
      </c>
      <c r="Z8" s="65">
        <f>IF(AND($BB$5&lt;&gt;0,V8&gt;0),V8*$BB$5,"")</f>
      </c>
      <c r="AA8" s="65">
        <f>IF(AJ8&gt;0,AJ8*$BC$5,"")</f>
      </c>
      <c r="AB8" s="66">
        <f>SUM(Y8:AA8)</f>
        <v>0</v>
      </c>
      <c r="AC8" s="67">
        <f>IF(T8="сн с дист","-",IF(ISNUMBER(U8),U8-W8+AB8,""))</f>
        <v>0.0012037037037037038</v>
      </c>
      <c r="AD8" s="68">
        <f>U8</f>
        <v>0.0012037037037037038</v>
      </c>
      <c r="AE8" s="86"/>
      <c r="AF8" s="70">
        <f>IF(AX8=0,AD8/SMALL($AD$7:$AD$10,1),"")</f>
        <v>1.0721649484536084</v>
      </c>
      <c r="AG8" s="87"/>
      <c r="AH8" s="88">
        <f>IF(ISNA(VLOOKUP($B8,DataLichVPR,23,0)),"",IF(VLOOKUP($B8,DataLichVPR,23,0)&gt;0,"(*)",""))</f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>IF(ISNA(VLOOKUP($B8,DataLichVPR,17,0)),"",VLOOKUP($B8,DataLichVPR,17,0))</f>
      </c>
      <c r="AV8" s="76">
        <f>IF(ISNA(VLOOKUP($B8,DataLichVPR,11,0)),"",VLOOKUP($B8,DataLichVPR,11,0))</f>
      </c>
      <c r="AW8" s="76">
        <f>IF(ISNA(VLOOKUP($B8,DataLichVPR,12,0)),"",IF(VLOOKUP($B8,DataLichVPR,12,0)=0,"",VLOOKUP($B8,DataLichVPR,12,0)))</f>
      </c>
      <c r="AX8" s="77">
        <f>IF(ISNUMBER(AD8),0,IF(AD8="прев. КВ",2,IF(AD8="сн с этапов",1,IF(AD8="не фин.",4,3))))</f>
        <v>0</v>
      </c>
      <c r="AY8" s="78">
        <f>IF($BB$5&lt;&gt;0,0,V8)</f>
        <v>0</v>
      </c>
      <c r="AZ8" s="79">
        <f>IF(U8&lt;&gt;"",AC8,"")</f>
        <v>0.0012037037037037038</v>
      </c>
    </row>
    <row r="9" spans="1:52" s="5" customFormat="1" ht="13.5" customHeight="1">
      <c r="A9" s="80">
        <v>1</v>
      </c>
      <c r="B9" s="53" t="s">
        <v>87</v>
      </c>
      <c r="C9" s="147" t="s">
        <v>82</v>
      </c>
      <c r="D9" s="152">
        <v>1995</v>
      </c>
      <c r="E9" s="153" t="s">
        <v>65</v>
      </c>
      <c r="F9" s="150" t="s">
        <v>91</v>
      </c>
      <c r="G9" s="151" t="s">
        <v>92</v>
      </c>
      <c r="H9" s="81">
        <f>IF(ISNA(VLOOKUP($B9,DataLichVPR,13,0)),"",VLOOKUP($B9,DataLichVPR,13,0))</f>
      </c>
      <c r="I9" s="82"/>
      <c r="J9" s="83"/>
      <c r="K9" s="83"/>
      <c r="L9" s="83"/>
      <c r="M9" s="83"/>
      <c r="N9" s="83"/>
      <c r="O9" s="83"/>
      <c r="P9" s="84"/>
      <c r="Q9" s="84"/>
      <c r="R9" s="85"/>
      <c r="S9" s="59"/>
      <c r="T9" s="60"/>
      <c r="U9" s="61">
        <v>0.0019328703703703704</v>
      </c>
      <c r="V9" s="62">
        <f>COUNTIF(I9:R9,"сн")</f>
        <v>0</v>
      </c>
      <c r="W9" s="63">
        <f>SUM(AK9:AT9)</f>
        <v>0</v>
      </c>
      <c r="X9" s="64">
        <f>SUM(I9:R9)</f>
        <v>0</v>
      </c>
      <c r="Y9" s="65">
        <f>IF(X9&gt;0,X9*$BA$5,"")</f>
      </c>
      <c r="Z9" s="65">
        <f>IF(AND($BB$5&lt;&gt;0,V9&gt;0),V9*$BB$5,"")</f>
      </c>
      <c r="AA9" s="65">
        <f>IF(AJ9&gt;0,AJ9*$BC$5,"")</f>
      </c>
      <c r="AB9" s="66">
        <f>SUM(Y9:AA9)</f>
        <v>0</v>
      </c>
      <c r="AC9" s="67">
        <f>IF(T9="сн с дист","-",IF(ISNUMBER(U9),U9-W9+AB9,""))</f>
        <v>0.0019328703703703704</v>
      </c>
      <c r="AD9" s="68">
        <f>U9</f>
        <v>0.0019328703703703704</v>
      </c>
      <c r="AE9" s="86"/>
      <c r="AF9" s="70">
        <f>IF(AX9=0,AD9/SMALL($AD$7:$AD$10,1),"")</f>
        <v>1.7216494845360826</v>
      </c>
      <c r="AG9" s="87"/>
      <c r="AH9" s="88">
        <f>IF(ISNA(VLOOKUP($B9,DataLichVPR,23,0)),"",IF(VLOOKUP($B9,DataLichVPR,23,0)&gt;0,"(*)",""))</f>
      </c>
      <c r="AI9" s="89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>
        <f>IF(ISNA(VLOOKUP($B9,DataLichVPR,17,0)),"",VLOOKUP($B9,DataLichVPR,17,0))</f>
      </c>
      <c r="AV9" s="76">
        <f>IF(ISNA(VLOOKUP($B9,DataLichVPR,11,0)),"",VLOOKUP($B9,DataLichVPR,11,0))</f>
      </c>
      <c r="AW9" s="76">
        <f>IF(ISNA(VLOOKUP($B9,DataLichVPR,12,0)),"",IF(VLOOKUP($B9,DataLichVPR,12,0)=0,"",VLOOKUP($B9,DataLichVPR,12,0)))</f>
      </c>
      <c r="AX9" s="77">
        <f>IF(ISNUMBER(AD9),0,IF(AD9="прев. КВ",2,IF(AD9="сн с этапов",1,IF(AD9="не фин.",4,3))))</f>
        <v>0</v>
      </c>
      <c r="AY9" s="78">
        <f>IF($BB$5&lt;&gt;0,0,V9)</f>
        <v>0</v>
      </c>
      <c r="AZ9" s="79">
        <f>IF(U9&lt;&gt;"",AC9,"")</f>
        <v>0.0019328703703703704</v>
      </c>
    </row>
    <row r="10" spans="1:52" s="5" customFormat="1" ht="13.5" customHeight="1">
      <c r="A10" s="80">
        <v>3</v>
      </c>
      <c r="B10" s="53" t="s">
        <v>58</v>
      </c>
      <c r="C10" s="147" t="s">
        <v>59</v>
      </c>
      <c r="D10" s="152">
        <v>1997</v>
      </c>
      <c r="E10" s="153" t="s">
        <v>54</v>
      </c>
      <c r="F10" s="150" t="s">
        <v>56</v>
      </c>
      <c r="G10" s="151" t="s">
        <v>57</v>
      </c>
      <c r="H10" s="81">
        <f>IF(ISNA(VLOOKUP($B10,DataLichVPR,13,0)),"",VLOOKUP($B10,DataLichVPR,13,0))</f>
      </c>
      <c r="I10" s="82"/>
      <c r="J10" s="83"/>
      <c r="K10" s="83"/>
      <c r="L10" s="83"/>
      <c r="M10" s="83"/>
      <c r="N10" s="83"/>
      <c r="O10" s="83"/>
      <c r="P10" s="84"/>
      <c r="Q10" s="84"/>
      <c r="R10" s="85"/>
      <c r="S10" s="59"/>
      <c r="T10" s="60"/>
      <c r="U10" s="61">
        <v>0.002002314814814815</v>
      </c>
      <c r="V10" s="62">
        <f>COUNTIF(I10:R10,"сн")</f>
        <v>0</v>
      </c>
      <c r="W10" s="63">
        <f>SUM(AK10:AT10)</f>
        <v>0</v>
      </c>
      <c r="X10" s="64">
        <f>SUM(I10:R10)</f>
        <v>0</v>
      </c>
      <c r="Y10" s="65">
        <f>IF(X10&gt;0,X10*$BA$5,"")</f>
      </c>
      <c r="Z10" s="65">
        <f>IF(AND($BB$5&lt;&gt;0,V10&gt;0),V10*$BB$5,"")</f>
      </c>
      <c r="AA10" s="65">
        <f>IF(AJ10&gt;0,AJ10*$BC$5,"")</f>
      </c>
      <c r="AB10" s="66">
        <f>SUM(Y10:AA10)</f>
        <v>0</v>
      </c>
      <c r="AC10" s="67">
        <f>IF(T10="сн с дист","-",IF(ISNUMBER(U10),U10-W10+AB10,""))</f>
        <v>0.002002314814814815</v>
      </c>
      <c r="AD10" s="68">
        <f>U10</f>
        <v>0.002002314814814815</v>
      </c>
      <c r="AE10" s="86"/>
      <c r="AF10" s="70">
        <f>IF(AX10=0,AD10/SMALL($AD$7:$AD$10,1),"")</f>
        <v>1.7835051546391754</v>
      </c>
      <c r="AG10" s="87"/>
      <c r="AH10" s="88">
        <f>IF(ISNA(VLOOKUP($B10,DataLichVPR,23,0)),"",IF(VLOOKUP($B10,DataLichVPR,23,0)&gt;0,"(*)",""))</f>
      </c>
      <c r="AI10" s="89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>
        <f>IF(ISNA(VLOOKUP($B10,DataLichVPR,17,0)),"",VLOOKUP($B10,DataLichVPR,17,0))</f>
      </c>
      <c r="AV10" s="76">
        <f>IF(ISNA(VLOOKUP($B10,DataLichVPR,11,0)),"",VLOOKUP($B10,DataLichVPR,11,0))</f>
      </c>
      <c r="AW10" s="76">
        <f>IF(ISNA(VLOOKUP($B10,DataLichVPR,12,0)),"",IF(VLOOKUP($B10,DataLichVPR,12,0)=0,"",VLOOKUP($B10,DataLichVPR,12,0)))</f>
      </c>
      <c r="AX10" s="77">
        <f>IF(ISNUMBER(AD10),0,IF(AD10="прев. КВ",2,IF(AD10="сн с этапов",1,IF(AD10="не фин.",4,3))))</f>
        <v>0</v>
      </c>
      <c r="AY10" s="78">
        <f>IF($BB$5&lt;&gt;0,0,V10)</f>
        <v>0</v>
      </c>
      <c r="AZ10" s="79">
        <f>IF(U10&lt;&gt;"",AC10,"")</f>
        <v>0.002002314814814815</v>
      </c>
    </row>
    <row r="11" spans="1:52" s="108" customFormat="1" ht="15" outlineLevel="1">
      <c r="A11" s="91"/>
      <c r="B11" s="92"/>
      <c r="C11" s="91"/>
      <c r="D11" s="93"/>
      <c r="E11" s="94" t="s">
        <v>52</v>
      </c>
      <c r="F11" s="95">
        <v>0</v>
      </c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99"/>
      <c r="U11" s="100"/>
      <c r="V11" s="101"/>
      <c r="W11" s="98"/>
      <c r="X11" s="102"/>
      <c r="Y11" s="99"/>
      <c r="Z11" s="99"/>
      <c r="AA11" s="99"/>
      <c r="AB11" s="99"/>
      <c r="AC11" s="98"/>
      <c r="AD11" s="103"/>
      <c r="AE11" s="104"/>
      <c r="AF11" s="105"/>
      <c r="AG11" s="98"/>
      <c r="AH11" s="98"/>
      <c r="AI11" s="106"/>
      <c r="AJ11" s="101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07"/>
      <c r="AV11" s="98"/>
      <c r="AW11" s="98"/>
      <c r="AX11" s="98"/>
      <c r="AY11" s="98"/>
      <c r="AZ11" s="98"/>
    </row>
    <row r="12" spans="1:52" s="98" customFormat="1" ht="26.25" customHeight="1" outlineLevel="1">
      <c r="A12" s="109" t="str">
        <f>CONCATENATE("Главный судья_________________________ /",SignGlSud,"/")</f>
        <v>Главный судья_________________________ /М.В. Халтурин/</v>
      </c>
      <c r="B12" s="97"/>
      <c r="C12" s="97"/>
      <c r="D12" s="97"/>
      <c r="E12" s="110"/>
      <c r="F12" s="111"/>
      <c r="G12" s="96"/>
      <c r="H12" s="112"/>
      <c r="I12" s="113"/>
      <c r="J12" s="114"/>
      <c r="K12" s="113"/>
      <c r="L12" s="114"/>
      <c r="M12" s="114"/>
      <c r="N12" s="114"/>
      <c r="O12" s="114"/>
      <c r="P12" s="114"/>
      <c r="Q12" s="114"/>
      <c r="R12" s="114"/>
      <c r="S12" s="115"/>
      <c r="T12" s="115"/>
      <c r="U12" s="116"/>
      <c r="V12" s="117"/>
      <c r="W12" s="114"/>
      <c r="X12" s="118"/>
      <c r="Y12" s="115"/>
      <c r="Z12" s="115"/>
      <c r="AA12" s="115"/>
      <c r="AB12" s="115"/>
      <c r="AC12" s="114"/>
      <c r="AD12" s="119"/>
      <c r="AE12" s="102"/>
      <c r="AG12" s="105"/>
      <c r="AH12" s="105"/>
      <c r="AI12" s="120"/>
      <c r="AJ12" s="101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21"/>
      <c r="AV12" s="122"/>
      <c r="AW12" s="122"/>
      <c r="AX12" s="123"/>
      <c r="AY12" s="123"/>
      <c r="AZ12" s="123"/>
    </row>
    <row r="13" spans="1:49" s="98" customFormat="1" ht="27" customHeight="1" outlineLevel="1">
      <c r="A13" s="109" t="str">
        <f>CONCATENATE("Главный секретарь _____________________ /",SignGlSec,"/")</f>
        <v>Главный секретарь _____________________ /А.А. Ткач/</v>
      </c>
      <c r="C13" s="124"/>
      <c r="D13" s="124"/>
      <c r="E13" s="125"/>
      <c r="G13" s="126"/>
      <c r="H13" s="12"/>
      <c r="I13" s="13"/>
      <c r="K13" s="13"/>
      <c r="S13" s="99"/>
      <c r="T13" s="99"/>
      <c r="U13" s="99"/>
      <c r="V13" s="102"/>
      <c r="X13" s="102"/>
      <c r="Y13" s="99"/>
      <c r="Z13" s="99"/>
      <c r="AA13" s="99"/>
      <c r="AB13" s="99"/>
      <c r="AD13" s="124"/>
      <c r="AE13" s="102"/>
      <c r="AG13" s="105"/>
      <c r="AH13" s="105"/>
      <c r="AI13" s="127"/>
      <c r="AJ13" s="101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128"/>
      <c r="AV13" s="124"/>
      <c r="AW13" s="124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time" allowBlank="1" showInputMessage="1" showErrorMessage="1" promptTitle="Отсечка на дистанции" errorTitle="Отсечка" error="Введите отсечку в формате времени - чч:мм:сс" sqref="AK1:AT13">
      <formula1>0</formula1>
      <formula2>0.999988425925926</formula2>
    </dataValidation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3">
      <formula1>0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"/>
  <sheetViews>
    <sheetView zoomScalePageLayoutView="0" workbookViewId="0" topLeftCell="A4">
      <selection activeCell="BH10" sqref="BH10"/>
    </sheetView>
  </sheetViews>
  <sheetFormatPr defaultColWidth="9.140625" defaultRowHeight="15" outlineLevelRow="1"/>
  <cols>
    <col min="2" max="2" width="0" style="0" hidden="1" customWidth="1"/>
    <col min="3" max="3" width="22.8515625" style="0" customWidth="1"/>
    <col min="6" max="6" width="12.8515625" style="0" customWidth="1"/>
    <col min="7" max="7" width="20.00390625" style="0" customWidth="1"/>
    <col min="8" max="20" width="0" style="0" hidden="1" customWidth="1"/>
    <col min="22" max="29" width="0" style="0" hidden="1" customWidth="1"/>
    <col min="32" max="34" width="0" style="0" hidden="1" customWidth="1"/>
    <col min="36" max="57" width="0" style="0" hidden="1" customWidth="1"/>
  </cols>
  <sheetData>
    <row r="1" spans="1:47" s="5" customFormat="1" ht="60.75" customHeight="1" outlineLevel="1">
      <c r="A1" s="176" t="str">
        <f>Shapka1</f>
        <v>Отдел по делам молодежи и спорту администрации Бикинского муниципального района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s="5" customFormat="1" ht="65.25" customHeight="1" outlineLevel="1" thickBot="1">
      <c r="A2" s="177" t="str">
        <f>Shapka2</f>
        <v>Открытое Первенство Бикинского района по спортивному туризму на пешеходных дистанциях в закрытых помещениях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52" s="5" customFormat="1" ht="13.5" outlineLevel="1" thickTop="1">
      <c r="A3" s="7" t="str">
        <f>ShapkaData</f>
        <v>22 декабря 2013г.</v>
      </c>
      <c r="B3" s="8"/>
      <c r="C3" s="9"/>
      <c r="D3" s="9"/>
      <c r="E3" s="10"/>
      <c r="F3" s="7"/>
      <c r="G3" s="11"/>
      <c r="H3" s="12"/>
      <c r="I3" s="13"/>
      <c r="J3" s="8"/>
      <c r="K3" s="13"/>
      <c r="L3" s="8"/>
      <c r="M3" s="8"/>
      <c r="N3" s="8"/>
      <c r="O3" s="8"/>
      <c r="P3" s="8"/>
      <c r="Q3" s="8"/>
      <c r="R3" s="8"/>
      <c r="S3" s="3"/>
      <c r="T3" s="3"/>
      <c r="U3" s="14"/>
      <c r="V3" s="2"/>
      <c r="W3" s="8"/>
      <c r="X3" s="15"/>
      <c r="Y3" s="3"/>
      <c r="Z3" s="3"/>
      <c r="AA3" s="3"/>
      <c r="AB3" s="3"/>
      <c r="AC3" s="8"/>
      <c r="AD3" s="16"/>
      <c r="AE3" s="17"/>
      <c r="AF3" s="18"/>
      <c r="AG3" s="19"/>
      <c r="AH3" s="20" t="str">
        <f>ShapkaWhere</f>
        <v>с. Лермонтовка</v>
      </c>
      <c r="AI3" s="21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22"/>
      <c r="AV3" s="23"/>
      <c r="AW3" s="23"/>
      <c r="AX3" s="8"/>
      <c r="AY3" s="8"/>
      <c r="AZ3" s="8"/>
    </row>
    <row r="4" spans="1:57" s="5" customFormat="1" ht="90.75" customHeight="1" outlineLevel="1" thickBot="1">
      <c r="A4" s="178" t="s">
        <v>113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178"/>
      <c r="AI4" s="1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BA4" s="24" t="s">
        <v>0</v>
      </c>
      <c r="BB4" s="24" t="s">
        <v>1</v>
      </c>
      <c r="BC4" s="24" t="s">
        <v>2</v>
      </c>
      <c r="BD4" s="25" t="s">
        <v>3</v>
      </c>
      <c r="BE4" s="25" t="s">
        <v>4</v>
      </c>
    </row>
    <row r="5" spans="1:57" s="5" customFormat="1" ht="42.75" customHeight="1" outlineLevel="1" thickBot="1">
      <c r="A5" s="179" t="s">
        <v>5</v>
      </c>
      <c r="B5" s="181" t="s">
        <v>6</v>
      </c>
      <c r="C5" s="183" t="s">
        <v>7</v>
      </c>
      <c r="D5" s="185" t="s">
        <v>8</v>
      </c>
      <c r="E5" s="185" t="s">
        <v>9</v>
      </c>
      <c r="F5" s="198" t="s">
        <v>10</v>
      </c>
      <c r="G5" s="189" t="s">
        <v>11</v>
      </c>
      <c r="H5" s="167" t="s">
        <v>12</v>
      </c>
      <c r="I5" s="169" t="s">
        <v>13</v>
      </c>
      <c r="J5" s="170"/>
      <c r="K5" s="170"/>
      <c r="L5" s="170"/>
      <c r="M5" s="170"/>
      <c r="N5" s="170"/>
      <c r="O5" s="170"/>
      <c r="P5" s="170"/>
      <c r="Q5" s="170"/>
      <c r="R5" s="171"/>
      <c r="S5" s="172" t="s">
        <v>14</v>
      </c>
      <c r="T5" s="200" t="s">
        <v>15</v>
      </c>
      <c r="U5" s="201" t="s">
        <v>16</v>
      </c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2" t="s">
        <v>17</v>
      </c>
      <c r="AI5" s="1"/>
      <c r="AJ5" s="26"/>
      <c r="AK5" s="191" t="s">
        <v>18</v>
      </c>
      <c r="AL5" s="191"/>
      <c r="AM5" s="191"/>
      <c r="AN5" s="191"/>
      <c r="AO5" s="191"/>
      <c r="AP5" s="191"/>
      <c r="AQ5" s="191"/>
      <c r="AR5" s="191"/>
      <c r="AS5" s="191"/>
      <c r="AT5" s="191"/>
      <c r="AU5" s="27"/>
      <c r="AV5" s="4"/>
      <c r="AW5" s="4"/>
      <c r="AX5" s="28" t="s">
        <v>19</v>
      </c>
      <c r="AY5" s="28" t="s">
        <v>20</v>
      </c>
      <c r="AZ5" s="29" t="s">
        <v>21</v>
      </c>
      <c r="BA5" s="30">
        <v>0.0006944444444444445</v>
      </c>
      <c r="BB5" s="31">
        <v>0.00034722222222222224</v>
      </c>
      <c r="BC5" s="31">
        <v>0.00034722222222222224</v>
      </c>
      <c r="BD5" s="31">
        <v>0.041666666666666664</v>
      </c>
      <c r="BE5" s="31">
        <v>0.0625</v>
      </c>
    </row>
    <row r="6" spans="1:56" s="5" customFormat="1" ht="135" customHeight="1" thickBot="1">
      <c r="A6" s="180"/>
      <c r="B6" s="182"/>
      <c r="C6" s="184"/>
      <c r="D6" s="186"/>
      <c r="E6" s="186"/>
      <c r="F6" s="199"/>
      <c r="G6" s="190"/>
      <c r="H6" s="168"/>
      <c r="I6" s="32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  <c r="Q6" s="33" t="s">
        <v>30</v>
      </c>
      <c r="R6" s="34" t="s">
        <v>31</v>
      </c>
      <c r="S6" s="173"/>
      <c r="T6" s="193"/>
      <c r="U6" s="154" t="s">
        <v>32</v>
      </c>
      <c r="V6" s="155" t="s">
        <v>33</v>
      </c>
      <c r="W6" s="156" t="s">
        <v>34</v>
      </c>
      <c r="X6" s="157" t="s">
        <v>35</v>
      </c>
      <c r="Y6" s="158" t="s">
        <v>36</v>
      </c>
      <c r="Z6" s="158" t="s">
        <v>37</v>
      </c>
      <c r="AA6" s="158" t="s">
        <v>38</v>
      </c>
      <c r="AB6" s="159" t="s">
        <v>39</v>
      </c>
      <c r="AC6" s="160" t="s">
        <v>40</v>
      </c>
      <c r="AD6" s="161" t="s">
        <v>16</v>
      </c>
      <c r="AE6" s="162" t="s">
        <v>41</v>
      </c>
      <c r="AF6" s="144" t="s">
        <v>42</v>
      </c>
      <c r="AG6" s="163" t="s">
        <v>43</v>
      </c>
      <c r="AH6" s="195" t="s">
        <v>17</v>
      </c>
      <c r="AI6" s="1"/>
      <c r="AJ6" s="46" t="s">
        <v>44</v>
      </c>
      <c r="AK6" s="47" t="s">
        <v>22</v>
      </c>
      <c r="AL6" s="47" t="s">
        <v>23</v>
      </c>
      <c r="AM6" s="47" t="s">
        <v>24</v>
      </c>
      <c r="AN6" s="47" t="s">
        <v>25</v>
      </c>
      <c r="AO6" s="47" t="s">
        <v>26</v>
      </c>
      <c r="AP6" s="47" t="s">
        <v>27</v>
      </c>
      <c r="AQ6" s="47" t="s">
        <v>28</v>
      </c>
      <c r="AR6" s="47" t="s">
        <v>29</v>
      </c>
      <c r="AS6" s="47" t="s">
        <v>30</v>
      </c>
      <c r="AT6" s="47" t="s">
        <v>31</v>
      </c>
      <c r="AU6" s="48" t="s">
        <v>45</v>
      </c>
      <c r="AV6" s="49" t="s">
        <v>46</v>
      </c>
      <c r="AW6" s="49" t="s">
        <v>47</v>
      </c>
      <c r="AX6" s="49" t="s">
        <v>48</v>
      </c>
      <c r="AY6" s="49" t="s">
        <v>49</v>
      </c>
      <c r="AZ6" s="49" t="s">
        <v>50</v>
      </c>
      <c r="BA6" s="50"/>
      <c r="BB6" s="51"/>
      <c r="BC6" s="51"/>
      <c r="BD6" s="51"/>
    </row>
    <row r="7" spans="1:57" s="8" customFormat="1" ht="13.5" customHeight="1">
      <c r="A7" s="80">
        <v>1</v>
      </c>
      <c r="B7" s="53" t="s">
        <v>84</v>
      </c>
      <c r="C7" s="147" t="s">
        <v>79</v>
      </c>
      <c r="D7" s="152">
        <v>1997</v>
      </c>
      <c r="E7" s="153" t="s">
        <v>65</v>
      </c>
      <c r="F7" s="150" t="s">
        <v>91</v>
      </c>
      <c r="G7" s="151" t="s">
        <v>92</v>
      </c>
      <c r="H7" s="81">
        <f>IF(ISNA(VLOOKUP($B7,DataLichVPR,13,0)),"",VLOOKUP($B7,DataLichVPR,13,0))</f>
      </c>
      <c r="I7" s="82"/>
      <c r="J7" s="83"/>
      <c r="K7" s="83"/>
      <c r="L7" s="83"/>
      <c r="M7" s="83"/>
      <c r="N7" s="83"/>
      <c r="O7" s="83"/>
      <c r="P7" s="84"/>
      <c r="Q7" s="84"/>
      <c r="R7" s="85"/>
      <c r="S7" s="59"/>
      <c r="T7" s="60"/>
      <c r="U7" s="61">
        <v>0.0008449074074074075</v>
      </c>
      <c r="V7" s="62">
        <f>COUNTIF(I7:R7,"сн")</f>
        <v>0</v>
      </c>
      <c r="W7" s="63">
        <f>SUM(AK7:AT7)</f>
        <v>0</v>
      </c>
      <c r="X7" s="64">
        <f>SUM(I7:R7)</f>
        <v>0</v>
      </c>
      <c r="Y7" s="65">
        <f>IF(X7&gt;0,X7*$BA$5,"")</f>
      </c>
      <c r="Z7" s="65">
        <f>IF(AND($BB$5&lt;&gt;0,V7&gt;0),V7*$BB$5,"")</f>
      </c>
      <c r="AA7" s="65">
        <f>IF(AJ7&gt;0,AJ7*$BC$5,"")</f>
      </c>
      <c r="AB7" s="66">
        <f>SUM(Y7:AA7)</f>
        <v>0</v>
      </c>
      <c r="AC7" s="67">
        <f>IF(T7="сн с дист","-",IF(ISNUMBER(U7),U7-W7+AB7,""))</f>
        <v>0.0008449074074074075</v>
      </c>
      <c r="AD7" s="68">
        <f>U7</f>
        <v>0.0008449074074074075</v>
      </c>
      <c r="AE7" s="86" t="s">
        <v>54</v>
      </c>
      <c r="AF7" s="70"/>
      <c r="AG7" s="87"/>
      <c r="AH7" s="88">
        <f>IF(ISNA(VLOOKUP($B7,DataLichVPR,23,0)),"",IF(VLOOKUP($B7,DataLichVPR,23,0)&gt;0,"(*)",""))</f>
      </c>
      <c r="AI7" s="89"/>
      <c r="AJ7" s="73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>
        <f>IF(ISNA(VLOOKUP($B7,DataLichVPR,17,0)),"",VLOOKUP($B7,DataLichVPR,17,0))</f>
      </c>
      <c r="AV7" s="76">
        <f>IF(ISNA(VLOOKUP($B7,DataLichVPR,11,0)),"",VLOOKUP($B7,DataLichVPR,11,0))</f>
      </c>
      <c r="AW7" s="76">
        <f>IF(ISNA(VLOOKUP($B7,DataLichVPR,12,0)),"",IF(VLOOKUP($B7,DataLichVPR,12,0)=0,"",VLOOKUP($B7,DataLichVPR,12,0)))</f>
      </c>
      <c r="AX7" s="77">
        <f>IF(ISNUMBER(AD7),0,IF(AD7="прев. КВ",2,IF(AD7="сн с этапов",1,IF(AD7="не фин.",4,3))))</f>
        <v>0</v>
      </c>
      <c r="AY7" s="78">
        <f>IF($BB$5&lt;&gt;0,0,V7)</f>
        <v>0</v>
      </c>
      <c r="AZ7" s="79">
        <f>IF(U7&lt;&gt;"",AC7,"")</f>
        <v>0.0008449074074074075</v>
      </c>
      <c r="BA7" s="5"/>
      <c r="BB7" s="5"/>
      <c r="BC7" s="5"/>
      <c r="BD7" s="5"/>
      <c r="BE7" s="5"/>
    </row>
    <row r="8" spans="1:52" s="5" customFormat="1" ht="13.5" customHeight="1">
      <c r="A8" s="80">
        <v>2</v>
      </c>
      <c r="B8" s="53" t="s">
        <v>55</v>
      </c>
      <c r="C8" s="147" t="s">
        <v>104</v>
      </c>
      <c r="D8" s="152">
        <v>1997</v>
      </c>
      <c r="E8" s="153" t="s">
        <v>54</v>
      </c>
      <c r="F8" s="150" t="s">
        <v>56</v>
      </c>
      <c r="G8" s="151" t="s">
        <v>57</v>
      </c>
      <c r="H8" s="81">
        <f>IF(ISNA(VLOOKUP($B8,DataLichVPR,13,0)),"",VLOOKUP($B8,DataLichVPR,13,0))</f>
      </c>
      <c r="I8" s="82"/>
      <c r="J8" s="83"/>
      <c r="K8" s="83"/>
      <c r="L8" s="83"/>
      <c r="M8" s="83"/>
      <c r="N8" s="83"/>
      <c r="O8" s="83"/>
      <c r="P8" s="84"/>
      <c r="Q8" s="84"/>
      <c r="R8" s="85"/>
      <c r="S8" s="59"/>
      <c r="T8" s="60"/>
      <c r="U8" s="61">
        <v>0.0009259259259259259</v>
      </c>
      <c r="V8" s="62"/>
      <c r="W8" s="63"/>
      <c r="X8" s="64"/>
      <c r="Y8" s="65"/>
      <c r="Z8" s="65"/>
      <c r="AA8" s="65"/>
      <c r="AB8" s="66"/>
      <c r="AC8" s="67"/>
      <c r="AD8" s="68">
        <f>U8</f>
        <v>0.0009259259259259259</v>
      </c>
      <c r="AE8" s="86" t="s">
        <v>65</v>
      </c>
      <c r="AF8" s="70"/>
      <c r="AG8" s="87"/>
      <c r="AH8" s="88">
        <f>IF(ISNA(VLOOKUP($B8,DataLichVPR,23,0)),"",IF(VLOOKUP($B8,DataLichVPR,23,0)&gt;0,"(*)",""))</f>
      </c>
      <c r="AI8" s="89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>
        <f>IF(ISNA(VLOOKUP($B8,DataLichVPR,17,0)),"",VLOOKUP($B8,DataLichVPR,17,0))</f>
      </c>
      <c r="AV8" s="76">
        <f>IF(ISNA(VLOOKUP($B8,DataLichVPR,11,0)),"",VLOOKUP($B8,DataLichVPR,11,0))</f>
      </c>
      <c r="AW8" s="76">
        <f>IF(ISNA(VLOOKUP($B8,DataLichVPR,12,0)),"",IF(VLOOKUP($B8,DataLichVPR,12,0)=0,"",VLOOKUP($B8,DataLichVPR,12,0)))</f>
      </c>
      <c r="AX8" s="77">
        <f>IF(ISNUMBER(AD8),0,IF(AD8="прев. КВ",2,IF(AD8="сн с этапов",1,IF(AD8="не фин.",4,3))))</f>
        <v>0</v>
      </c>
      <c r="AY8" s="78">
        <f>IF($BB$5&lt;&gt;0,0,V8)</f>
        <v>0</v>
      </c>
      <c r="AZ8" s="79">
        <f>IF(U8&lt;&gt;"",AC8,"")</f>
        <v>0</v>
      </c>
    </row>
    <row r="9" spans="1:52" s="108" customFormat="1" ht="15" outlineLevel="1">
      <c r="A9" s="91"/>
      <c r="B9" s="92"/>
      <c r="C9" s="91"/>
      <c r="D9" s="93"/>
      <c r="E9" s="94" t="s">
        <v>52</v>
      </c>
      <c r="F9" s="95">
        <v>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100"/>
      <c r="V9" s="101"/>
      <c r="W9" s="98"/>
      <c r="X9" s="102"/>
      <c r="Y9" s="99"/>
      <c r="Z9" s="99"/>
      <c r="AA9" s="99"/>
      <c r="AB9" s="99"/>
      <c r="AC9" s="98"/>
      <c r="AD9" s="103"/>
      <c r="AE9" s="104"/>
      <c r="AF9" s="105"/>
      <c r="AG9" s="98"/>
      <c r="AH9" s="98"/>
      <c r="AI9" s="106"/>
      <c r="AJ9" s="101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07"/>
      <c r="AV9" s="98"/>
      <c r="AW9" s="98"/>
      <c r="AX9" s="98"/>
      <c r="AY9" s="98"/>
      <c r="AZ9" s="98"/>
    </row>
    <row r="10" spans="1:52" s="98" customFormat="1" ht="26.25" customHeight="1" outlineLevel="1">
      <c r="A10" s="109" t="str">
        <f>CONCATENATE("Главный судья_________________________ /",SignGlSud,"/")</f>
        <v>Главный судья_________________________ /М.В. Халтурин/</v>
      </c>
      <c r="B10" s="97"/>
      <c r="C10" s="97"/>
      <c r="D10" s="97"/>
      <c r="E10" s="110"/>
      <c r="F10" s="111"/>
      <c r="G10" s="96"/>
      <c r="H10" s="112"/>
      <c r="I10" s="113"/>
      <c r="J10" s="114"/>
      <c r="K10" s="113"/>
      <c r="L10" s="114"/>
      <c r="M10" s="114"/>
      <c r="N10" s="114"/>
      <c r="O10" s="114"/>
      <c r="P10" s="114"/>
      <c r="Q10" s="114"/>
      <c r="R10" s="114"/>
      <c r="S10" s="115"/>
      <c r="T10" s="115"/>
      <c r="U10" s="116"/>
      <c r="V10" s="117"/>
      <c r="W10" s="114"/>
      <c r="X10" s="118"/>
      <c r="Y10" s="115"/>
      <c r="Z10" s="115"/>
      <c r="AA10" s="115"/>
      <c r="AB10" s="115"/>
      <c r="AC10" s="114"/>
      <c r="AD10" s="119"/>
      <c r="AE10" s="102"/>
      <c r="AG10" s="105"/>
      <c r="AH10" s="105"/>
      <c r="AI10" s="120"/>
      <c r="AJ10" s="101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21"/>
      <c r="AV10" s="122"/>
      <c r="AW10" s="122"/>
      <c r="AX10" s="123"/>
      <c r="AY10" s="123"/>
      <c r="AZ10" s="123"/>
    </row>
    <row r="11" spans="1:49" s="98" customFormat="1" ht="27" customHeight="1" outlineLevel="1">
      <c r="A11" s="109" t="str">
        <f>CONCATENATE("Главный секретарь _____________________ /",SignGlSec,"/")</f>
        <v>Главный секретарь _____________________ /А.А. Ткач/</v>
      </c>
      <c r="C11" s="124"/>
      <c r="D11" s="124"/>
      <c r="E11" s="125"/>
      <c r="G11" s="126"/>
      <c r="H11" s="12"/>
      <c r="I11" s="13"/>
      <c r="K11" s="13"/>
      <c r="S11" s="99"/>
      <c r="T11" s="99"/>
      <c r="U11" s="99"/>
      <c r="V11" s="102"/>
      <c r="X11" s="102"/>
      <c r="Y11" s="99"/>
      <c r="Z11" s="99"/>
      <c r="AA11" s="99"/>
      <c r="AB11" s="99"/>
      <c r="AD11" s="124"/>
      <c r="AE11" s="102"/>
      <c r="AG11" s="105"/>
      <c r="AH11" s="105"/>
      <c r="AI11" s="127"/>
      <c r="AJ11" s="101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28"/>
      <c r="AV11" s="124"/>
      <c r="AW11" s="124"/>
    </row>
  </sheetData>
  <sheetProtection/>
  <mergeCells count="17">
    <mergeCell ref="A1:AH1"/>
    <mergeCell ref="A2:AH2"/>
    <mergeCell ref="A4:AH4"/>
    <mergeCell ref="A5:A6"/>
    <mergeCell ref="B5:B6"/>
    <mergeCell ref="C5:C6"/>
    <mergeCell ref="D5:D6"/>
    <mergeCell ref="E5:E6"/>
    <mergeCell ref="F5:F6"/>
    <mergeCell ref="G5:G6"/>
    <mergeCell ref="AK5:AT5"/>
    <mergeCell ref="H5:H6"/>
    <mergeCell ref="I5:R5"/>
    <mergeCell ref="S5:S6"/>
    <mergeCell ref="T5:T6"/>
    <mergeCell ref="U5:AG5"/>
    <mergeCell ref="AH5:AH6"/>
  </mergeCells>
  <dataValidations count="2">
    <dataValidation type="time" allowBlank="1" showInputMessage="1" showErrorMessage="1" promptTitle="Отсечка на дистанции" errorTitle="Отсечка" error="Введите отсечку в формате времени - чч:мм:сс" sqref="AK1:AT11">
      <formula1>0</formula1>
      <formula2>0.999988425925926</formula2>
    </dataValidation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AJ1:AJ11">
      <formula1>0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2013-12-22T10:54:21Z</cp:lastPrinted>
  <dcterms:created xsi:type="dcterms:W3CDTF">2013-12-22T07:58:30Z</dcterms:created>
  <dcterms:modified xsi:type="dcterms:W3CDTF">2013-12-22T11:36:52Z</dcterms:modified>
  <cp:category/>
  <cp:version/>
  <cp:contentType/>
  <cp:contentStatus/>
</cp:coreProperties>
</file>